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dnts40cjashd21\COMUN\Mira Dut\"/>
    </mc:Choice>
  </mc:AlternateContent>
  <xr:revisionPtr revIDLastSave="0" documentId="13_ncr:1_{29FB8B84-3FEB-4346-85B8-A5C460AE1E12}"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1">cheltuieli!$A$1:$H$294</definedName>
    <definedName name="_xlnm.Print_Area" localSheetId="0">venituri!$A$1:$F$117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1" i="1" l="1"/>
  <c r="E63" i="1"/>
  <c r="E50" i="1"/>
  <c r="E49" i="1"/>
  <c r="E46" i="1"/>
  <c r="E45" i="1"/>
  <c r="E44" i="1"/>
  <c r="E38" i="1"/>
  <c r="E37" i="1"/>
  <c r="E33" i="1"/>
  <c r="E31" i="1"/>
  <c r="E30" i="1"/>
  <c r="E27" i="1"/>
  <c r="E25" i="1"/>
  <c r="E23" i="1"/>
  <c r="E17" i="1"/>
  <c r="G239" i="2" l="1"/>
  <c r="G216" i="2"/>
  <c r="G189" i="2"/>
  <c r="G269" i="2"/>
  <c r="G268" i="2"/>
  <c r="G261" i="2"/>
  <c r="G258" i="2"/>
  <c r="G260" i="2"/>
  <c r="G259" i="2"/>
  <c r="G256" i="2"/>
  <c r="G255" i="2"/>
  <c r="G254" i="2"/>
  <c r="G246" i="2"/>
  <c r="G244" i="2"/>
  <c r="G241" i="2"/>
  <c r="G228" i="2"/>
  <c r="G226" i="2"/>
  <c r="G224" i="2"/>
  <c r="G225" i="2"/>
  <c r="G218" i="2"/>
  <c r="G213" i="2"/>
  <c r="G207" i="2"/>
  <c r="G201" i="2"/>
  <c r="G196" i="2"/>
  <c r="G192" i="2"/>
  <c r="G191" i="2"/>
  <c r="G182" i="2"/>
  <c r="H182" i="2"/>
  <c r="H180" i="2" s="1"/>
  <c r="G181" i="2"/>
  <c r="G187" i="2"/>
  <c r="G186" i="2"/>
  <c r="G188" i="2"/>
  <c r="G185" i="2"/>
  <c r="G184" i="2"/>
  <c r="G175" i="2"/>
  <c r="G171" i="2"/>
  <c r="G150" i="2"/>
  <c r="G147" i="2"/>
  <c r="G144" i="2"/>
  <c r="G133" i="2"/>
  <c r="G129" i="2"/>
  <c r="G123" i="2"/>
  <c r="H122" i="2"/>
  <c r="G120" i="2"/>
  <c r="G117" i="2"/>
  <c r="G114" i="2"/>
  <c r="G108" i="2"/>
  <c r="G104" i="2"/>
  <c r="G103" i="2"/>
  <c r="G102" i="2"/>
  <c r="G101" i="2"/>
  <c r="G99" i="2"/>
  <c r="G93" i="2"/>
  <c r="G92" i="2"/>
  <c r="G91" i="2"/>
  <c r="G76" i="2"/>
  <c r="G61" i="2"/>
  <c r="G54" i="2"/>
  <c r="G53" i="2"/>
  <c r="G51" i="2"/>
  <c r="G48" i="2"/>
  <c r="G47" i="2"/>
  <c r="G42" i="2"/>
  <c r="G32" i="2"/>
  <c r="G31" i="2"/>
  <c r="G29" i="2"/>
  <c r="G28" i="2"/>
  <c r="G27" i="2"/>
  <c r="G26" i="2"/>
  <c r="G25" i="2"/>
  <c r="F267" i="2"/>
  <c r="G249" i="2" l="1"/>
  <c r="G141" i="2"/>
  <c r="G248" i="2"/>
  <c r="G45" i="2"/>
  <c r="F257" i="2" l="1"/>
  <c r="F240" i="2"/>
  <c r="E122" i="2"/>
  <c r="F122" i="2"/>
  <c r="E113" i="2"/>
  <c r="F113" i="2"/>
  <c r="F195" i="2" l="1"/>
  <c r="E72" i="1" l="1"/>
  <c r="E119" i="2"/>
  <c r="F119" i="2"/>
  <c r="E60" i="1" l="1"/>
  <c r="D98" i="2"/>
  <c r="E257" i="2"/>
  <c r="E138" i="2"/>
  <c r="E132" i="2"/>
  <c r="E131" i="2" s="1"/>
  <c r="E128" i="2"/>
  <c r="E125" i="2"/>
  <c r="E116" i="2"/>
  <c r="E110" i="2"/>
  <c r="E107" i="2"/>
  <c r="E98" i="2"/>
  <c r="E97" i="2" s="1"/>
  <c r="E94" i="2"/>
  <c r="F155" i="2"/>
  <c r="F149" i="2"/>
  <c r="F146" i="2"/>
  <c r="F143" i="2"/>
  <c r="F138" i="2"/>
  <c r="F132" i="2"/>
  <c r="F128" i="2"/>
  <c r="F125" i="2"/>
  <c r="F116" i="2"/>
  <c r="F110" i="2"/>
  <c r="F107" i="2"/>
  <c r="F98" i="2"/>
  <c r="F97" i="2" s="1"/>
  <c r="F94" i="2"/>
  <c r="F74" i="2"/>
  <c r="F60" i="2"/>
  <c r="F58" i="2"/>
  <c r="F36" i="2"/>
  <c r="F34" i="2"/>
  <c r="F131" i="2" l="1"/>
  <c r="F253" i="2"/>
  <c r="F287" i="2" l="1"/>
  <c r="F286" i="2" s="1"/>
  <c r="F285" i="2" s="1"/>
  <c r="D288" i="2"/>
  <c r="D287" i="2" s="1"/>
  <c r="D286" i="2" s="1"/>
  <c r="D285" i="2" s="1"/>
  <c r="E288" i="2"/>
  <c r="E287" i="2" s="1"/>
  <c r="E286" i="2" s="1"/>
  <c r="E285" i="2" s="1"/>
  <c r="F288" i="2"/>
  <c r="G288" i="2"/>
  <c r="G287" i="2" s="1"/>
  <c r="G286" i="2" s="1"/>
  <c r="G285" i="2" s="1"/>
  <c r="H288" i="2"/>
  <c r="H287" i="2" s="1"/>
  <c r="H286" i="2" s="1"/>
  <c r="H285" i="2" s="1"/>
  <c r="D276" i="2"/>
  <c r="E276" i="2"/>
  <c r="E271" i="2" s="1"/>
  <c r="E14" i="2" s="1"/>
  <c r="F276" i="2"/>
  <c r="G276" i="2"/>
  <c r="H276" i="2"/>
  <c r="D272" i="2"/>
  <c r="D271" i="2" s="1"/>
  <c r="D14" i="2" s="1"/>
  <c r="E272" i="2"/>
  <c r="F272" i="2"/>
  <c r="G272" i="2"/>
  <c r="H272" i="2"/>
  <c r="H271" i="2" s="1"/>
  <c r="H14" i="2" s="1"/>
  <c r="D265" i="2"/>
  <c r="D264" i="2" s="1"/>
  <c r="D266" i="2"/>
  <c r="E266" i="2"/>
  <c r="E265" i="2" s="1"/>
  <c r="E264" i="2" s="1"/>
  <c r="F266" i="2"/>
  <c r="F265" i="2" s="1"/>
  <c r="F264" i="2" s="1"/>
  <c r="G266" i="2"/>
  <c r="G265" i="2" s="1"/>
  <c r="G264" i="2" s="1"/>
  <c r="H266" i="2"/>
  <c r="H265" i="2" s="1"/>
  <c r="H264" i="2" s="1"/>
  <c r="D267" i="2"/>
  <c r="E267" i="2"/>
  <c r="G267" i="2"/>
  <c r="H267" i="2"/>
  <c r="D257" i="2"/>
  <c r="D253" i="2" s="1"/>
  <c r="D252" i="2" s="1"/>
  <c r="D251" i="2" s="1"/>
  <c r="D12" i="2" s="1"/>
  <c r="E253" i="2"/>
  <c r="E252" i="2" s="1"/>
  <c r="E251" i="2" s="1"/>
  <c r="E12" i="2" s="1"/>
  <c r="G257" i="2"/>
  <c r="G253" i="2" s="1"/>
  <c r="G252" i="2" s="1"/>
  <c r="G251" i="2" s="1"/>
  <c r="G12" i="2" s="1"/>
  <c r="H257" i="2"/>
  <c r="H253" i="2" s="1"/>
  <c r="D250" i="2"/>
  <c r="D18" i="2" s="1"/>
  <c r="E250" i="2"/>
  <c r="E18" i="2" s="1"/>
  <c r="F250" i="2"/>
  <c r="G250" i="2"/>
  <c r="G18" i="2" s="1"/>
  <c r="H250" i="2"/>
  <c r="H18" i="2" s="1"/>
  <c r="F252" i="2"/>
  <c r="F251" i="2" s="1"/>
  <c r="F12" i="2" s="1"/>
  <c r="H252" i="2"/>
  <c r="H251" i="2" s="1"/>
  <c r="H12" i="2" s="1"/>
  <c r="D240" i="2"/>
  <c r="E240" i="2"/>
  <c r="G240" i="2"/>
  <c r="H240" i="2"/>
  <c r="D235" i="2"/>
  <c r="E235" i="2"/>
  <c r="F235" i="2"/>
  <c r="G235" i="2"/>
  <c r="H235" i="2"/>
  <c r="D232" i="2"/>
  <c r="E232" i="2"/>
  <c r="F232" i="2"/>
  <c r="F222" i="2" s="1"/>
  <c r="G232" i="2"/>
  <c r="H232" i="2"/>
  <c r="D229" i="2"/>
  <c r="E229" i="2"/>
  <c r="F229" i="2"/>
  <c r="G229" i="2"/>
  <c r="H229" i="2"/>
  <c r="G223" i="2"/>
  <c r="H223" i="2"/>
  <c r="D217" i="2"/>
  <c r="E217" i="2"/>
  <c r="F217" i="2"/>
  <c r="G217" i="2"/>
  <c r="H217" i="2"/>
  <c r="D212" i="2"/>
  <c r="E212" i="2"/>
  <c r="F212" i="2"/>
  <c r="G212" i="2"/>
  <c r="H212" i="2"/>
  <c r="D206" i="2"/>
  <c r="D200" i="2" s="1"/>
  <c r="E206" i="2"/>
  <c r="E200" i="2" s="1"/>
  <c r="F206" i="2"/>
  <c r="G206" i="2"/>
  <c r="H206" i="2"/>
  <c r="H200" i="2" s="1"/>
  <c r="D203" i="2"/>
  <c r="E203" i="2"/>
  <c r="F203" i="2"/>
  <c r="G203" i="2"/>
  <c r="H203" i="2"/>
  <c r="D195" i="2"/>
  <c r="E195" i="2"/>
  <c r="G195" i="2"/>
  <c r="H195" i="2"/>
  <c r="D190" i="2"/>
  <c r="E190" i="2"/>
  <c r="F190" i="2"/>
  <c r="G190" i="2"/>
  <c r="H190" i="2"/>
  <c r="F179" i="2"/>
  <c r="D179" i="2"/>
  <c r="E179" i="2"/>
  <c r="G180" i="2"/>
  <c r="G179" i="2" s="1"/>
  <c r="H179" i="2"/>
  <c r="D174" i="2"/>
  <c r="E174" i="2"/>
  <c r="F174" i="2"/>
  <c r="G174" i="2"/>
  <c r="H174" i="2"/>
  <c r="D170" i="2"/>
  <c r="E170" i="2"/>
  <c r="F170" i="2"/>
  <c r="G170" i="2"/>
  <c r="H170" i="2"/>
  <c r="D165" i="2"/>
  <c r="E165" i="2"/>
  <c r="F165" i="2"/>
  <c r="G165" i="2"/>
  <c r="H165" i="2"/>
  <c r="E160" i="2"/>
  <c r="D161" i="2"/>
  <c r="D160" i="2" s="1"/>
  <c r="E161" i="2"/>
  <c r="F161" i="2"/>
  <c r="F160" i="2" s="1"/>
  <c r="G161" i="2"/>
  <c r="H161" i="2"/>
  <c r="H160" i="2" s="1"/>
  <c r="D155" i="2"/>
  <c r="E155" i="2"/>
  <c r="G155" i="2"/>
  <c r="H155" i="2"/>
  <c r="D149" i="2"/>
  <c r="E149" i="2"/>
  <c r="G149" i="2"/>
  <c r="H149" i="2"/>
  <c r="D146" i="2"/>
  <c r="E146" i="2"/>
  <c r="G146" i="2"/>
  <c r="H146" i="2"/>
  <c r="D143" i="2"/>
  <c r="E143" i="2"/>
  <c r="G143" i="2"/>
  <c r="H143" i="2"/>
  <c r="D138" i="2"/>
  <c r="G138" i="2"/>
  <c r="H138" i="2"/>
  <c r="D132" i="2"/>
  <c r="D131" i="2" s="1"/>
  <c r="G132" i="2"/>
  <c r="G131" i="2" s="1"/>
  <c r="H132" i="2"/>
  <c r="D128" i="2"/>
  <c r="G128" i="2"/>
  <c r="H128" i="2"/>
  <c r="D125" i="2"/>
  <c r="G125" i="2"/>
  <c r="H125" i="2"/>
  <c r="D122" i="2"/>
  <c r="G122" i="2"/>
  <c r="D119" i="2"/>
  <c r="G119" i="2"/>
  <c r="H119" i="2"/>
  <c r="D116" i="2"/>
  <c r="G116" i="2"/>
  <c r="H116" i="2"/>
  <c r="D113" i="2"/>
  <c r="G113" i="2"/>
  <c r="H113" i="2"/>
  <c r="D110" i="2"/>
  <c r="G110" i="2"/>
  <c r="H110" i="2"/>
  <c r="D107" i="2"/>
  <c r="G107" i="2"/>
  <c r="H107" i="2"/>
  <c r="H98" i="2"/>
  <c r="H97" i="2" s="1"/>
  <c r="D97" i="2"/>
  <c r="G98" i="2"/>
  <c r="G97" i="2" s="1"/>
  <c r="D94" i="2"/>
  <c r="G94" i="2"/>
  <c r="H94" i="2"/>
  <c r="D79" i="2"/>
  <c r="D78" i="2" s="1"/>
  <c r="D77" i="2" s="1"/>
  <c r="D16" i="2" s="1"/>
  <c r="E79" i="2"/>
  <c r="E78" i="2" s="1"/>
  <c r="F79" i="2"/>
  <c r="F78" i="2" s="1"/>
  <c r="G79" i="2"/>
  <c r="G78" i="2" s="1"/>
  <c r="H79" i="2"/>
  <c r="H78" i="2" s="1"/>
  <c r="D74" i="2"/>
  <c r="D15" i="2" s="1"/>
  <c r="E74" i="2"/>
  <c r="E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G60" i="2"/>
  <c r="H60" i="2"/>
  <c r="D58" i="2"/>
  <c r="E58" i="2"/>
  <c r="G58" i="2"/>
  <c r="H58" i="2"/>
  <c r="D36" i="2"/>
  <c r="E36" i="2"/>
  <c r="G36" i="2"/>
  <c r="H36" i="2"/>
  <c r="D34" i="2"/>
  <c r="E34" i="2"/>
  <c r="G34" i="2"/>
  <c r="H34" i="2"/>
  <c r="F15" i="2"/>
  <c r="F18" i="2"/>
  <c r="D24" i="2"/>
  <c r="E24" i="2"/>
  <c r="F24" i="2"/>
  <c r="F23" i="2" s="1"/>
  <c r="G24" i="2"/>
  <c r="H24" i="2"/>
  <c r="C232" i="2"/>
  <c r="C223" i="2"/>
  <c r="C212" i="2"/>
  <c r="C190" i="2"/>
  <c r="C180" i="2"/>
  <c r="C179"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E96" i="1"/>
  <c r="F96" i="1"/>
  <c r="F95" i="1" s="1"/>
  <c r="C93" i="1"/>
  <c r="D93" i="1"/>
  <c r="E93" i="1"/>
  <c r="F93" i="1"/>
  <c r="C91" i="1"/>
  <c r="D91" i="1"/>
  <c r="D90" i="1" s="1"/>
  <c r="E91" i="1"/>
  <c r="E90" i="1" s="1"/>
  <c r="F91" i="1"/>
  <c r="C81" i="1"/>
  <c r="D81" i="1"/>
  <c r="E81" i="1"/>
  <c r="F81" i="1"/>
  <c r="C68" i="1"/>
  <c r="C67" i="1" s="1"/>
  <c r="C66" i="1" s="1"/>
  <c r="D68" i="1"/>
  <c r="E68" i="1"/>
  <c r="E67" i="1" s="1"/>
  <c r="E66" i="1" s="1"/>
  <c r="F68" i="1"/>
  <c r="C64" i="1"/>
  <c r="D64" i="1"/>
  <c r="E64" i="1"/>
  <c r="F64" i="1"/>
  <c r="C59" i="1"/>
  <c r="C58" i="1" s="1"/>
  <c r="D59" i="1"/>
  <c r="E59" i="1"/>
  <c r="F59" i="1"/>
  <c r="F58" i="1" s="1"/>
  <c r="C56" i="1"/>
  <c r="D56" i="1"/>
  <c r="E56" i="1"/>
  <c r="F56" i="1"/>
  <c r="C54" i="1"/>
  <c r="D54" i="1"/>
  <c r="D53" i="1" s="1"/>
  <c r="E54" i="1"/>
  <c r="E53" i="1" s="1"/>
  <c r="F54" i="1"/>
  <c r="C29" i="1"/>
  <c r="C28" i="1" s="1"/>
  <c r="D29" i="1"/>
  <c r="D28" i="1" s="1"/>
  <c r="E29" i="1"/>
  <c r="E28" i="1" s="1"/>
  <c r="F29" i="1"/>
  <c r="F28" i="1" s="1"/>
  <c r="C24" i="1"/>
  <c r="D24" i="1"/>
  <c r="E24" i="1"/>
  <c r="F24" i="1"/>
  <c r="C16" i="1"/>
  <c r="D16" i="1"/>
  <c r="D15" i="1" s="1"/>
  <c r="E16" i="1"/>
  <c r="F16" i="1"/>
  <c r="C9" i="1"/>
  <c r="D9" i="1"/>
  <c r="E9" i="1"/>
  <c r="F9" i="1"/>
  <c r="C288" i="2"/>
  <c r="C287" i="2" s="1"/>
  <c r="C286" i="2" s="1"/>
  <c r="C285" i="2" s="1"/>
  <c r="C276" i="2"/>
  <c r="C272" i="2"/>
  <c r="C267" i="2"/>
  <c r="C266" i="2"/>
  <c r="C265" i="2" s="1"/>
  <c r="C264" i="2" s="1"/>
  <c r="C263" i="2" s="1"/>
  <c r="C262" i="2" s="1"/>
  <c r="C257" i="2"/>
  <c r="C253" i="2" s="1"/>
  <c r="C252" i="2" s="1"/>
  <c r="C250" i="2"/>
  <c r="C18" i="2" s="1"/>
  <c r="C240" i="2"/>
  <c r="C235" i="2"/>
  <c r="C229" i="2"/>
  <c r="C222" i="2" s="1"/>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F271" i="2" l="1"/>
  <c r="F14" i="2" s="1"/>
  <c r="D58" i="1"/>
  <c r="D95" i="1"/>
  <c r="F53" i="1"/>
  <c r="F52" i="1" s="1"/>
  <c r="D67" i="1"/>
  <c r="D66" i="1" s="1"/>
  <c r="F90" i="1"/>
  <c r="G271" i="2"/>
  <c r="G14" i="2" s="1"/>
  <c r="C15" i="1"/>
  <c r="C53" i="1"/>
  <c r="E58" i="1"/>
  <c r="C90" i="1"/>
  <c r="E95" i="1"/>
  <c r="F200" i="2"/>
  <c r="F67" i="1"/>
  <c r="F66" i="1" s="1"/>
  <c r="G160" i="2"/>
  <c r="H131" i="2"/>
  <c r="H106" i="2" s="1"/>
  <c r="E15" i="1"/>
  <c r="F15" i="1"/>
  <c r="F14" i="1" s="1"/>
  <c r="G282" i="2"/>
  <c r="G281" i="2" s="1"/>
  <c r="G280" i="2" s="1"/>
  <c r="G284" i="2"/>
  <c r="G283" i="2" s="1"/>
  <c r="H284" i="2"/>
  <c r="H283" i="2" s="1"/>
  <c r="H282" i="2"/>
  <c r="H281" i="2" s="1"/>
  <c r="H280" i="2" s="1"/>
  <c r="F282" i="2"/>
  <c r="F281" i="2" s="1"/>
  <c r="F280" i="2" s="1"/>
  <c r="F284" i="2"/>
  <c r="F283" i="2" s="1"/>
  <c r="E284" i="2"/>
  <c r="E283" i="2" s="1"/>
  <c r="E282" i="2"/>
  <c r="E281" i="2" s="1"/>
  <c r="E280" i="2" s="1"/>
  <c r="D284" i="2"/>
  <c r="D283" i="2" s="1"/>
  <c r="D282" i="2"/>
  <c r="D281" i="2" s="1"/>
  <c r="D280" i="2" s="1"/>
  <c r="E263" i="2"/>
  <c r="E262" i="2" s="1"/>
  <c r="E13" i="2"/>
  <c r="G263" i="2"/>
  <c r="G262" i="2" s="1"/>
  <c r="G13" i="2"/>
  <c r="H263" i="2"/>
  <c r="H262" i="2" s="1"/>
  <c r="H13" i="2"/>
  <c r="F13" i="2"/>
  <c r="F263" i="2"/>
  <c r="F262" i="2" s="1"/>
  <c r="D263" i="2"/>
  <c r="D262" i="2" s="1"/>
  <c r="D13" i="2"/>
  <c r="F221" i="2"/>
  <c r="E222" i="2"/>
  <c r="E221" i="2" s="1"/>
  <c r="H222" i="2"/>
  <c r="H221" i="2" s="1"/>
  <c r="D222" i="2"/>
  <c r="D221" i="2" s="1"/>
  <c r="G222" i="2"/>
  <c r="G221" i="2" s="1"/>
  <c r="H178" i="2"/>
  <c r="D178" i="2"/>
  <c r="G200" i="2"/>
  <c r="G178" i="2" s="1"/>
  <c r="F178" i="2"/>
  <c r="E178" i="2"/>
  <c r="F142" i="2"/>
  <c r="G142" i="2"/>
  <c r="H77" i="2"/>
  <c r="H16" i="2" s="1"/>
  <c r="H17" i="2"/>
  <c r="F77" i="2"/>
  <c r="F16" i="2" s="1"/>
  <c r="F17" i="2"/>
  <c r="E90" i="2"/>
  <c r="D90" i="2"/>
  <c r="F106" i="2"/>
  <c r="H23" i="2"/>
  <c r="H9" i="2" s="1"/>
  <c r="D23" i="2"/>
  <c r="D9" i="2" s="1"/>
  <c r="D17" i="2"/>
  <c r="H90" i="2"/>
  <c r="H142" i="2"/>
  <c r="D142" i="2"/>
  <c r="D106" i="2"/>
  <c r="E142" i="2"/>
  <c r="E106" i="2"/>
  <c r="G106" i="2"/>
  <c r="G90" i="2"/>
  <c r="F90" i="2"/>
  <c r="G17" i="2"/>
  <c r="G77" i="2"/>
  <c r="G16" i="2" s="1"/>
  <c r="E77" i="2"/>
  <c r="E16" i="2" s="1"/>
  <c r="E17" i="2"/>
  <c r="E23" i="2"/>
  <c r="G23" i="2"/>
  <c r="G9" i="2" s="1"/>
  <c r="F9" i="2"/>
  <c r="C102" i="1"/>
  <c r="F102" i="1"/>
  <c r="E102" i="1"/>
  <c r="D102" i="1"/>
  <c r="C200" i="2"/>
  <c r="C178" i="2" s="1"/>
  <c r="C131" i="2"/>
  <c r="C106" i="2" s="1"/>
  <c r="C271" i="2"/>
  <c r="C14" i="2" s="1"/>
  <c r="C160" i="2"/>
  <c r="C142" i="2" s="1"/>
  <c r="C13" i="2"/>
  <c r="C251" i="2"/>
  <c r="C12" i="2" s="1"/>
  <c r="C284" i="2"/>
  <c r="C283" i="2" s="1"/>
  <c r="C282" i="2"/>
  <c r="C281" i="2" s="1"/>
  <c r="C280" i="2" s="1"/>
  <c r="C23" i="2"/>
  <c r="C9" i="2" s="1"/>
  <c r="C90" i="2"/>
  <c r="C221" i="2"/>
  <c r="E52" i="1"/>
  <c r="D52" i="1"/>
  <c r="C52" i="1"/>
  <c r="E14" i="1"/>
  <c r="D14" i="1"/>
  <c r="C14" i="1"/>
  <c r="C17" i="2"/>
  <c r="F8" i="1" l="1"/>
  <c r="F7" i="1" s="1"/>
  <c r="E8" i="1"/>
  <c r="E7" i="1" s="1"/>
  <c r="D89" i="2"/>
  <c r="D88" i="2" s="1"/>
  <c r="D52" i="2" s="1"/>
  <c r="D44" i="2" s="1"/>
  <c r="D43" i="2" s="1"/>
  <c r="D22" i="2" s="1"/>
  <c r="D21" i="2" s="1"/>
  <c r="D8" i="1"/>
  <c r="D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<sst xmlns="http://schemas.openxmlformats.org/spreadsheetml/2006/main" count="645" uniqueCount="527">
  <si>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</si>
  <si>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</si>
  <si>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</si>
  <si>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</si>
  <si>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</si>
  <si>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</si>
  <si>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</si>
  <si>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</si>
  <si>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</si>
  <si>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</si>
  <si>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</si>
  <si>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</si>
  <si>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</si>
  <si>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</si>
  <si>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</si>
  <si>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</si>
  <si>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</si>
  <si>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</si>
  <si>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</si>
  <si>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</si>
  <si>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</si>
  <si>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</si>
  <si>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</si>
  <si>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</si>
  <si>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</si>
  <si>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</si>
  <si>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</si>
  <si>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</si>
  <si>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</si>
  <si>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</si>
  <si>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</si>
  <si>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</si>
  <si>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</si>
  <si>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</si>
  <si>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</si>
  <si>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</si>
  <si>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</si>
  <si>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</si>
  <si>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</si>
  <si>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</si>
  <si>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</si>
  <si>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</si>
  <si>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</si>
  <si>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</si>
  <si>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</si>
  <si>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</si>
  <si>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</si>
  <si>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</si>
  <si>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</si>
  <si>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</si>
  <si>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</si>
  <si>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</si>
  <si>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</si>
  <si>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</si>
  <si>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</si>
  <si>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</si>
  <si>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</si>
  <si>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</si>
  <si>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</si>
  <si>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</si>
  <si>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</si>
  <si>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</si>
  <si>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</si>
  <si>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</si>
  <si>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</si>
  <si>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</si>
  <si>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</si>
  <si>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</si>
  <si>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</si>
  <si>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</si>
  <si>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</si>
  <si>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</si>
  <si>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</si>
  <si>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</si>
  <si>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</si>
  <si>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</si>
  <si>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</si>
  <si>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</si>
  <si>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</si>
  <si>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</si>
  <si>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</si>
  <si>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</si>
  <si>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</si>
  <si>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</si>
  <si>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</si>
  <si>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</si>
  <si>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</si>
  <si>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</si>
  <si>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</si>
  <si>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</si>
  <si>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</si>
  <si>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</si>
  <si>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</si>
  <si>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</si>
  <si>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</si>
  <si>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</si>
  <si>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</si>
  <si>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</si>
  <si>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</si>
  <si>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</si>
  <si>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</si>
  <si>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</si>
  <si>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</si>
  <si>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</si>
  <si>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</si>
  <si>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</si>
  <si>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</si>
  <si>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</si>
  <si>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</si>
  <si>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</si>
  <si>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</si>
  <si>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</si>
  <si>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</si>
  <si>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</si>
  <si>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</si>
  <si>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</si>
  <si>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</si>
  <si>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</si>
  <si>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</si>
  <si>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</si>
  <si>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</si>
  <si>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</si>
  <si>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</si>
  <si>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</si>
  <si>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</si>
  <si>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</si>
  <si>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</si>
  <si>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</si>
  <si>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</si>
  <si>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</si>
  <si>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</si>
  <si>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</si>
  <si>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</si>
  <si>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</si>
  <si>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</si>
  <si>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</si>
  <si>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</si>
  <si>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</si>
  <si>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</si>
  <si>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</si>
  <si>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</si>
  <si>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</si>
  <si>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</si>
  <si>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</si>
  <si>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</si>
  <si>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</si>
  <si>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</si>
  <si>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</si>
  <si>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</si>
  <si>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</si>
  <si>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</si>
  <si>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</si>
  <si>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</si>
  <si>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</si>
  <si>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</si>
  <si>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</si>
  <si>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</si>
  <si>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</si>
  <si>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</si>
  <si>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</si>
  <si>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</si>
  <si>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</si>
  <si>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</si>
  <si>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</si>
  <si>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</si>
  <si>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</si>
  <si>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</si>
  <si>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</si>
  <si>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</si>
  <si>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</si>
  <si>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</si>
  <si>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</si>
  <si>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</si>
  <si>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</si>
  <si>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</si>
  <si>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</si>
  <si>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</si>
  <si>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</si>
  <si>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</si>
  <si>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</si>
  <si>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</si>
  <si>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</si>
  <si>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</si>
  <si>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</si>
  <si>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</si>
  <si>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</si>
  <si>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</si>
  <si>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</si>
  <si>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</si>
  <si>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</si>
  <si>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</si>
  <si>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</si>
  <si>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</si>
  <si>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</si>
  <si>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</si>
  <si>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</si>
  <si>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</si>
  <si>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</si>
  <si>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</si>
  <si>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</si>
  <si>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</si>
  <si>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</si>
  <si>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</si>
  <si>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</si>
  <si>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</si>
  <si>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</si>
  <si>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</si>
  <si>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</si>
  <si>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</si>
  <si>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</si>
  <si>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</si>
  <si>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</si>
  <si>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</si>
  <si>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</si>
  <si>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</si>
  <si>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</si>
  <si>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</si>
  <si>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</si>
  <si>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</si>
  <si>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</si>
  <si>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</si>
  <si>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</si>
  <si>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</si>
  <si>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</si>
  <si>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</si>
  <si>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</si>
  <si>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</si>
  <si>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</si>
  <si>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</si>
  <si>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</si>
  <si>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</si>
  <si>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</si>
  <si>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</si>
  <si>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</si>
  <si>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</si>
  <si>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</si>
  <si>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</si>
  <si>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</si>
  <si>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</si>
  <si>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</si>
  <si>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</si>
  <si>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</si>
  <si>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</si>
  <si>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</si>
  <si>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</si>
  <si>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</si>
  <si>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</si>
  <si>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</si>
  <si>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</si>
  <si>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</si>
  <si>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</si>
  <si>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</si>
  <si>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</si>
  <si>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</si>
  <si>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</si>
  <si>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</si>
  <si>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</si>
  <si>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</si>
  <si>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</si>
  <si>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</si>
  <si>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</si>
  <si>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</si>
  <si>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</si>
  <si>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</si>
  <si>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</si>
  <si>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</si>
  <si>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</si>
  <si>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</si>
  <si>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</si>
  <si>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</si>
  <si>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</si>
  <si>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</si>
  <si>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</si>
  <si>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</si>
  <si>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</si>
  <si>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</si>
  <si>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</si>
  <si>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</si>
  <si>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</si>
  <si>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</si>
  <si>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</si>
  <si>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</si>
  <si>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</si>
  <si>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</si>
  <si>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</si>
  <si>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</si>
  <si>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</si>
  <si>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</si>
  <si>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</si>
  <si>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</si>
  <si>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</si>
  <si>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</si>
  <si>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</si>
  <si>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</si>
  <si>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</si>
  <si>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</si>
  <si>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</si>
  <si>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</si>
  <si>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</si>
  <si>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</si>
  <si>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</si>
  <si>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</si>
  <si>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</si>
  <si>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</si>
  <si>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</si>
  <si>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</si>
  <si>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</si>
  <si>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</si>
  <si>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</si>
  <si>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</si>
  <si>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</si>
  <si>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</si>
  <si>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</si>
  <si>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</si>
  <si>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</si>
  <si>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</si>
  <si>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</si>
  <si>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</si>
  <si>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</si>
  <si>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</si>
  <si>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</si>
  <si>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</si>
  <si>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</si>
  <si>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</si>
  <si>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</si>
  <si>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</si>
  <si>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</si>
  <si>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</si>
  <si>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</si>
  <si>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</si>
  <si>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</si>
  <si>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</si>
  <si>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</si>
  <si>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</si>
  <si>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</si>
  <si>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</si>
  <si>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</si>
  <si>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</si>
  <si>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</si>
  <si>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</si>
  <si>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</si>
  <si>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</si>
  <si>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</si>
  <si>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</si>
  <si>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</si>
  <si>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</si>
  <si>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</si>
  <si>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</si>
  <si>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</si>
  <si>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</si>
  <si>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</si>
  <si>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</si>
  <si>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</si>
  <si>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</si>
  <si>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</si>
  <si>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</si>
  <si>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</si>
  <si>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</si>
  <si>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</si>
  <si>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</si>
  <si>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</si>
  <si>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</si>
  <si>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</si>
  <si>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</si>
  <si>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</si>
  <si>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</si>
  <si>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</si>
  <si>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</si>
  <si>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</si>
  <si>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</si>
  <si>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</si>
  <si>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</si>
  <si>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</si>
  <si>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</si>
  <si>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</si>
  <si>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</si>
  <si>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</si>
  <si>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</si>
  <si>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</si>
  <si>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</si>
  <si>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</si>
  <si>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</si>
  <si>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</si>
  <si>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</si>
  <si>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</si>
  <si>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</si>
  <si>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</si>
  <si>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</si>
  <si>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</si>
  <si>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</si>
  <si>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</si>
  <si>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</si>
  <si>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</si>
  <si>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</si>
  <si>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</si>
  <si>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</si>
  <si>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</si>
  <si>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</si>
  <si>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</si>
  <si>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</si>
  <si>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</si>
  <si>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</si>
  <si>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</si>
  <si>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</si>
  <si>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</si>
  <si>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</si>
  <si>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</si>
  <si>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</si>
  <si>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</si>
  <si>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</si>
  <si>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</si>
  <si>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</si>
  <si>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</si>
  <si>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</si>
  <si>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</si>
  <si>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</si>
  <si>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</si>
  <si>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</si>
  <si>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</si>
  <si>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</si>
  <si>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</si>
  <si>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</si>
  <si>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</si>
  <si>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</si>
  <si>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</si>
  <si>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</si>
  <si>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</si>
  <si>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</si>
  <si>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</si>
  <si>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</si>
  <si>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</si>
  <si>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</si>
  <si>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</si>
  <si>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</si>
  <si>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</si>
  <si>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</si>
  <si>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</si>
  <si>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</si>
  <si>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</si>
  <si>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</si>
  <si>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</si>
  <si>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</si>
  <si>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</si>
  <si>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</si>
  <si>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</si>
  <si>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</si>
  <si>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</si>
  <si>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</si>
  <si>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</si>
  <si>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</si>
  <si>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</si>
  <si>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</si>
  <si>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</si>
  <si>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</si>
  <si>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</si>
  <si>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</si>
  <si>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</si>
  <si>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</si>
  <si>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</si>
  <si>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</si>
  <si>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</si>
  <si>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</si>
  <si>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</si>
  <si>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</si>
  <si>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</si>
  <si>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</si>
  <si>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</si>
  <si>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</si>
  <si>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</si>
  <si>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</si>
  <si>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</si>
  <si>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</si>
  <si>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</si>
  <si>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</si>
  <si>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</si>
  <si>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</si>
  <si>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</si>
  <si>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</si>
  <si>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</si>
  <si>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</si>
  <si>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</si>
  <si>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</si>
  <si>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</si>
  <si>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</si>
  <si>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</si>
  <si>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</si>
  <si>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</si>
  <si>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</si>
  <si>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</si>
  <si>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</si>
  <si>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</si>
  <si>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</si>
  <si>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</si>
  <si>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</si>
  <si>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</si>
  <si>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</si>
  <si>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</si>
  <si>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</si>
  <si>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</si>
  <si>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</si>
  <si>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</si>
  <si>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</si>
  <si>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</si>
  <si>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</si>
  <si>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</si>
  <si>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</si>
  <si>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</si>
  <si>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</si>
  <si>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</si>
  <si>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</si>
  <si>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</si>
  <si>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</si>
  <si>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</si>
  <si>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</si>
  <si>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</si>
  <si>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</si>
  <si>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</si>
  <si>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</si>
  <si>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</si>
  <si>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</si>
  <si>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CASA DE ASIGURARI DE SANATATE HUNEDOARA</t>
  </si>
  <si>
    <t>EC. DAVID ADRIAN NICOLAE</t>
  </si>
  <si>
    <t xml:space="preserve">      DIRECTOR GENERAL,</t>
  </si>
  <si>
    <t>DR.EC.CUMPANASU ECATERINA</t>
  </si>
  <si>
    <t xml:space="preserve">       DIRECTOR ECONOMIC, </t>
  </si>
  <si>
    <t>CONT DE EXECUTIE CHELTUIELI MAI 2023</t>
  </si>
  <si>
    <t>CONT DE EXECUTIE VENITURI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</si>
</sst>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20">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0" fontId="2" fillId="0" borderId="0" xfId="0" applyFont="1" applyAlignment="1">
      <alignment horizontal="center"/>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3" fontId="3" fillId="0" borderId="1" xfId="0" applyNumberFormat="1" applyFont="1" applyBorder="1"/>
    <xf numFmtId="2" fontId="4" fillId="0" borderId="1" xfId="0" applyNumberFormat="1" applyFont="1" applyBorder="1" applyAlignment="1">
      <alignment wrapText="1"/>
    </xf>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164" fontId="9" fillId="0" borderId="0" xfId="0" applyNumberFormat="1" applyFont="1"/>
    <xf numFmtId="3" fontId="10" fillId="0" borderId="0" xfId="0" applyNumberFormat="1" applyFont="1" applyAlignment="1">
      <alignment horizontal="center"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5"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4" fontId="11" fillId="0" borderId="0" xfId="0" applyNumberFormat="1" applyFont="1"/>
    <xf numFmtId="0" fontId="11" fillId="0" borderId="0" xfId="0" applyFont="1"/>
    <xf numFmtId="165"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3" fontId="9" fillId="0" borderId="1" xfId="0" applyNumberFormat="1" applyFont="1" applyBorder="1"/>
    <xf numFmtId="165" fontId="9" fillId="0" borderId="1" xfId="2" applyNumberFormat="1" applyFont="1" applyBorder="1" applyAlignment="1">
      <alignment wrapText="1"/>
    </xf>
    <xf numFmtId="165"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5" fontId="12" fillId="0" borderId="1" xfId="2" applyNumberFormat="1" applyFont="1" applyBorder="1" applyAlignment="1">
      <alignment wrapText="1"/>
    </xf>
    <xf numFmtId="49" fontId="9" fillId="0" borderId="1" xfId="0" applyNumberFormat="1" applyFont="1" applyBorder="1" applyAlignment="1">
      <alignment horizontal="left" vertical="top" wrapText="1"/>
    </xf>
    <xf numFmtId="165" fontId="11" fillId="0" borderId="1" xfId="3" applyNumberFormat="1" applyFont="1" applyBorder="1" applyAlignment="1">
      <alignment wrapText="1"/>
    </xf>
    <xf numFmtId="165" fontId="9" fillId="0" borderId="1" xfId="3" applyNumberFormat="1" applyFont="1" applyBorder="1" applyAlignment="1">
      <alignment wrapText="1"/>
    </xf>
    <xf numFmtId="49" fontId="15" fillId="0" borderId="1" xfId="0" applyNumberFormat="1" applyFont="1" applyBorder="1" applyAlignment="1">
      <alignment vertical="top"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4" fontId="11" fillId="0" borderId="1" xfId="0" applyNumberFormat="1" applyFont="1" applyBorder="1" applyAlignment="1">
      <alignment horizontal="left" wrapText="1"/>
    </xf>
    <xf numFmtId="165" fontId="16" fillId="0" borderId="1" xfId="2" applyNumberFormat="1" applyFont="1" applyBorder="1" applyAlignment="1">
      <alignment wrapText="1"/>
    </xf>
    <xf numFmtId="165" fontId="16" fillId="0" borderId="1" xfId="2" applyNumberFormat="1" applyFont="1" applyBorder="1" applyAlignment="1">
      <alignment horizontal="left" vertical="center" wrapText="1"/>
    </xf>
    <xf numFmtId="165" fontId="17" fillId="0" borderId="1" xfId="3" applyNumberFormat="1" applyFont="1" applyBorder="1" applyAlignment="1">
      <alignment horizontal="left" vertical="center" wrapText="1"/>
    </xf>
    <xf numFmtId="165" fontId="16" fillId="0" borderId="1" xfId="3" applyNumberFormat="1" applyFont="1" applyBorder="1" applyAlignment="1">
      <alignment horizontal="left" vertical="center" wrapText="1"/>
    </xf>
    <xf numFmtId="3" fontId="9" fillId="0" borderId="1" xfId="0" applyNumberFormat="1" applyFont="1" applyBorder="1" applyAlignment="1">
      <alignment vertical="top" wrapText="1"/>
    </xf>
    <xf numFmtId="165" fontId="11" fillId="0" borderId="1" xfId="4" applyNumberFormat="1" applyFont="1" applyBorder="1" applyAlignment="1">
      <alignment vertical="top" wrapText="1"/>
    </xf>
    <xf numFmtId="165" fontId="9" fillId="0" borderId="1" xfId="4" applyNumberFormat="1" applyFont="1" applyBorder="1" applyAlignment="1">
      <alignment vertical="top" wrapText="1"/>
    </xf>
    <xf numFmtId="165" fontId="11" fillId="0" borderId="1" xfId="5" applyNumberFormat="1" applyFont="1" applyBorder="1" applyAlignment="1">
      <alignment vertical="top" wrapText="1"/>
    </xf>
    <xf numFmtId="4" fontId="9" fillId="0" borderId="1" xfId="0" applyNumberFormat="1" applyFont="1" applyBorder="1"/>
    <xf numFmtId="165"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5" fontId="11" fillId="0" borderId="1" xfId="2" applyNumberFormat="1" applyFont="1" applyBorder="1"/>
    <xf numFmtId="165"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 fontId="4" fillId="0" borderId="1" xfId="0" applyNumberFormat="1" applyFont="1" applyBorder="1"/>
    <xf numFmtId="4" fontId="9" fillId="0" borderId="1" xfId="0" applyNumberFormat="1" applyFont="1" applyBorder="1" applyAlignment="1">
      <alignment vertical="top" wrapText="1"/>
    </xf>
    <xf numFmtId="4" fontId="9" fillId="0" borderId="1" xfId="3" applyNumberFormat="1" applyFont="1" applyBorder="1" applyAlignment="1">
      <alignment horizontal="right" wrapText="1"/>
    </xf>
    <xf numFmtId="4" fontId="12" fillId="0" borderId="1" xfId="0" applyNumberFormat="1" applyFont="1" applyBorder="1" applyAlignment="1">
      <alignment horizontal="right"/>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I156"/>
  <sheetViews>
    <sheetView workbookViewId="0">
      <pane xSplit="3" ySplit="6" topLeftCell="D101" activePane="bottomRight" state="frozen"/>
      <selection activeCell="B2" sqref="B2"/>
      <selection pane="topRight" activeCell="B2" sqref="B2"/>
      <selection pane="bottomLeft" activeCell="B2" sqref="B2"/>
      <selection pane="bottomRight" activeCell="E112" sqref="E112"/>
    </sheetView>
  </sheetViews>
  <sheetFormatPr defaultRowHeight="12.75"/>
  <cols>
    <col min="1" max="1" width="11" style="35" customWidth="1"/>
    <col min="2" max="2" width="59.5703125" style="6" customWidth="1"/>
    <col min="3" max="4" width="15" style="27" customWidth="1"/>
    <col min="5" max="6" width="18" style="6"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6384" width="9.140625" style="6"/>
  </cols>
  <sheetData>
    <row r="1" spans="1:165" ht="15">
      <c r="B1" s="102" t="s">
        <v>526</v>
      </c>
      <c r="C1" s="92"/>
      <c r="D1" s="92"/>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65">
      <c r="B2" s="1" t="s">
        <v>520</v>
      </c>
      <c r="C2" s="92"/>
      <c r="D2" s="92"/>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row>
    <row r="3" spans="1:165">
      <c r="A3" s="2"/>
      <c r="B3" s="3"/>
      <c r="E3" s="27"/>
      <c r="F3" s="27"/>
      <c r="FG3" s="5"/>
    </row>
    <row r="4" spans="1:165" ht="12.75" customHeight="1">
      <c r="E4" s="27"/>
      <c r="F4" s="7" t="s">
        <v>0</v>
      </c>
      <c r="G4" s="118"/>
      <c r="H4" s="118"/>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9"/>
      <c r="EJ4" s="119"/>
      <c r="EK4" s="119"/>
      <c r="EL4" s="119"/>
      <c r="EM4" s="119"/>
      <c r="EN4" s="117"/>
      <c r="EO4" s="117"/>
      <c r="EP4" s="117"/>
      <c r="EQ4" s="117"/>
      <c r="ER4" s="117"/>
      <c r="ES4" s="117"/>
      <c r="ET4" s="117"/>
      <c r="EU4" s="117"/>
      <c r="EV4" s="117"/>
      <c r="EW4" s="117"/>
      <c r="EX4" s="117"/>
      <c r="EY4" s="117"/>
      <c r="EZ4" s="117"/>
      <c r="FA4" s="117"/>
      <c r="FB4" s="117"/>
      <c r="FC4" s="117"/>
      <c r="FD4" s="117"/>
      <c r="FE4" s="117"/>
      <c r="FF4" s="117"/>
      <c r="FG4" s="117"/>
    </row>
    <row r="5" spans="1:165"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65" s="14" customFormat="1">
      <c r="A6" s="11"/>
      <c r="B6" s="12"/>
      <c r="C6" s="91"/>
      <c r="D6" s="91"/>
      <c r="E6" s="91"/>
      <c r="F6" s="91"/>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row>
    <row r="7" spans="1:165">
      <c r="A7" s="93" t="s">
        <v>7</v>
      </c>
      <c r="B7" s="15" t="s">
        <v>8</v>
      </c>
      <c r="C7" s="16">
        <f t="shared" ref="C7:F7" si="0">+C8+C66+C110+C95+C90</f>
        <v>545113840</v>
      </c>
      <c r="D7" s="16">
        <f t="shared" si="0"/>
        <v>321551840</v>
      </c>
      <c r="E7" s="16">
        <f t="shared" si="0"/>
        <v>224295653.63</v>
      </c>
      <c r="F7" s="16">
        <f t="shared" si="0"/>
        <v>40128213.5</v>
      </c>
      <c r="G7" s="27"/>
      <c r="H7" s="27"/>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7"/>
      <c r="FI7" s="27"/>
    </row>
    <row r="8" spans="1:165">
      <c r="A8" s="93" t="s">
        <v>9</v>
      </c>
      <c r="B8" s="15" t="s">
        <v>10</v>
      </c>
      <c r="C8" s="16">
        <f t="shared" ref="C8:F8" si="1">+C14+C52+C9</f>
        <v>488692000</v>
      </c>
      <c r="D8" s="16">
        <f t="shared" si="1"/>
        <v>265130000</v>
      </c>
      <c r="E8" s="16">
        <f t="shared" si="1"/>
        <v>167830640.63</v>
      </c>
      <c r="F8" s="16">
        <f t="shared" si="1"/>
        <v>39386007.5</v>
      </c>
      <c r="G8" s="27"/>
      <c r="H8" s="27"/>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7"/>
      <c r="FI8" s="27"/>
    </row>
    <row r="9" spans="1:165">
      <c r="A9" s="93" t="s">
        <v>11</v>
      </c>
      <c r="B9" s="15" t="s">
        <v>12</v>
      </c>
      <c r="C9" s="16">
        <f t="shared" ref="C9:F9" si="2">+C10+C11+C12+C13</f>
        <v>0</v>
      </c>
      <c r="D9" s="16">
        <f t="shared" si="2"/>
        <v>0</v>
      </c>
      <c r="E9" s="16">
        <f t="shared" si="2"/>
        <v>0</v>
      </c>
      <c r="F9" s="16">
        <f t="shared" si="2"/>
        <v>0</v>
      </c>
      <c r="G9" s="27"/>
      <c r="H9" s="27"/>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7"/>
      <c r="FI9" s="27"/>
    </row>
    <row r="10" spans="1:165" ht="38.25">
      <c r="A10" s="93" t="s">
        <v>13</v>
      </c>
      <c r="B10" s="15" t="s">
        <v>14</v>
      </c>
      <c r="C10" s="16"/>
      <c r="D10" s="16"/>
      <c r="E10" s="17"/>
      <c r="F10" s="17"/>
      <c r="G10" s="27"/>
      <c r="H10" s="27"/>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7"/>
      <c r="FI10" s="27"/>
    </row>
    <row r="11" spans="1:165" ht="38.25">
      <c r="A11" s="93" t="s">
        <v>15</v>
      </c>
      <c r="B11" s="15" t="s">
        <v>16</v>
      </c>
      <c r="C11" s="16"/>
      <c r="D11" s="16"/>
      <c r="E11" s="17"/>
      <c r="F11" s="17"/>
      <c r="G11" s="27"/>
      <c r="H11" s="27"/>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7"/>
      <c r="FI11" s="27"/>
    </row>
    <row r="12" spans="1:165" ht="25.5">
      <c r="A12" s="93" t="s">
        <v>17</v>
      </c>
      <c r="B12" s="15" t="s">
        <v>18</v>
      </c>
      <c r="C12" s="16"/>
      <c r="D12" s="16"/>
      <c r="E12" s="17"/>
      <c r="F12" s="17"/>
      <c r="G12" s="27"/>
      <c r="H12" s="27"/>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7"/>
      <c r="FI12" s="27"/>
    </row>
    <row r="13" spans="1:165" ht="38.25">
      <c r="A13" s="93" t="s">
        <v>19</v>
      </c>
      <c r="B13" s="15" t="s">
        <v>20</v>
      </c>
      <c r="C13" s="16"/>
      <c r="D13" s="16"/>
      <c r="E13" s="17"/>
      <c r="F13" s="17"/>
      <c r="G13" s="27"/>
      <c r="H13" s="27"/>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7"/>
      <c r="FI13" s="27"/>
    </row>
    <row r="14" spans="1:165">
      <c r="A14" s="93" t="s">
        <v>21</v>
      </c>
      <c r="B14" s="15" t="s">
        <v>22</v>
      </c>
      <c r="C14" s="16">
        <f t="shared" ref="C14:F14" si="3">+C15+C28</f>
        <v>488069000</v>
      </c>
      <c r="D14" s="16">
        <f t="shared" si="3"/>
        <v>264957000</v>
      </c>
      <c r="E14" s="16">
        <f t="shared" si="3"/>
        <v>167685665.46000001</v>
      </c>
      <c r="F14" s="16">
        <f t="shared" si="3"/>
        <v>39348423.299999997</v>
      </c>
      <c r="G14" s="27"/>
      <c r="H14" s="27"/>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7"/>
      <c r="FI14" s="27"/>
    </row>
    <row r="15" spans="1:165">
      <c r="A15" s="93" t="s">
        <v>23</v>
      </c>
      <c r="B15" s="15" t="s">
        <v>24</v>
      </c>
      <c r="C15" s="16">
        <f t="shared" ref="C15:F15" si="4">+C16+C24+C27</f>
        <v>25324000</v>
      </c>
      <c r="D15" s="16">
        <f t="shared" si="4"/>
        <v>12517000</v>
      </c>
      <c r="E15" s="16">
        <f t="shared" si="4"/>
        <v>8993451.9600000009</v>
      </c>
      <c r="F15" s="16">
        <f t="shared" si="4"/>
        <v>1877279.3</v>
      </c>
      <c r="G15" s="27"/>
      <c r="H15" s="27"/>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7"/>
      <c r="FI15" s="27"/>
    </row>
    <row r="16" spans="1:165" ht="25.5">
      <c r="A16" s="93" t="s">
        <v>25</v>
      </c>
      <c r="B16" s="15" t="s">
        <v>26</v>
      </c>
      <c r="C16" s="16">
        <f t="shared" ref="C16:F16" si="5">C17+C18+C20+C21+C22+C19+C23</f>
        <v>5718000</v>
      </c>
      <c r="D16" s="16">
        <f t="shared" si="5"/>
        <v>2735000</v>
      </c>
      <c r="E16" s="16">
        <f t="shared" si="5"/>
        <v>339074</v>
      </c>
      <c r="F16" s="16">
        <f t="shared" si="5"/>
        <v>92732</v>
      </c>
      <c r="G16" s="27"/>
      <c r="H16" s="27"/>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7"/>
      <c r="FI16" s="27"/>
    </row>
    <row r="17" spans="1:165" ht="25.5">
      <c r="A17" s="94" t="s">
        <v>27</v>
      </c>
      <c r="B17" s="18" t="s">
        <v>28</v>
      </c>
      <c r="C17" s="16">
        <v>5718000</v>
      </c>
      <c r="D17" s="16">
        <v>2735000</v>
      </c>
      <c r="E17" s="113">
        <f>9785+18322-16446+6452+34147</f>
        <v>52260</v>
      </c>
      <c r="F17" s="113">
        <v>34147</v>
      </c>
      <c r="G17" s="27"/>
      <c r="H17" s="27"/>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7"/>
      <c r="FI17" s="27"/>
    </row>
    <row r="18" spans="1:165" ht="25.5">
      <c r="A18" s="94" t="s">
        <v>29</v>
      </c>
      <c r="B18" s="18" t="s">
        <v>30</v>
      </c>
      <c r="C18" s="16"/>
      <c r="D18" s="16"/>
      <c r="E18" s="113"/>
      <c r="F18" s="113"/>
      <c r="G18" s="27"/>
      <c r="H18" s="27"/>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7"/>
      <c r="FI18" s="27"/>
    </row>
    <row r="19" spans="1:165">
      <c r="A19" s="94" t="s">
        <v>31</v>
      </c>
      <c r="B19" s="18" t="s">
        <v>32</v>
      </c>
      <c r="C19" s="16"/>
      <c r="D19" s="16"/>
      <c r="E19" s="113"/>
      <c r="F19" s="113"/>
      <c r="G19" s="27"/>
      <c r="H19" s="27"/>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7"/>
      <c r="FI19" s="27"/>
    </row>
    <row r="20" spans="1:165" ht="25.5">
      <c r="A20" s="94" t="s">
        <v>33</v>
      </c>
      <c r="B20" s="18" t="s">
        <v>34</v>
      </c>
      <c r="C20" s="16"/>
      <c r="D20" s="16"/>
      <c r="E20" s="113"/>
      <c r="F20" s="113"/>
      <c r="G20" s="27"/>
      <c r="H20" s="27"/>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7"/>
      <c r="FI20" s="27"/>
    </row>
    <row r="21" spans="1:165" ht="25.5">
      <c r="A21" s="94" t="s">
        <v>35</v>
      </c>
      <c r="B21" s="18" t="s">
        <v>36</v>
      </c>
      <c r="C21" s="16"/>
      <c r="D21" s="16"/>
      <c r="E21" s="113"/>
      <c r="F21" s="113"/>
      <c r="G21" s="27"/>
      <c r="H21" s="27"/>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7"/>
      <c r="FI21" s="27"/>
    </row>
    <row r="22" spans="1:165" ht="43.5" customHeight="1">
      <c r="A22" s="94" t="s">
        <v>37</v>
      </c>
      <c r="B22" s="95" t="s">
        <v>38</v>
      </c>
      <c r="C22" s="16"/>
      <c r="D22" s="16"/>
      <c r="E22" s="113"/>
      <c r="F22" s="113"/>
      <c r="G22" s="27"/>
      <c r="H22" s="27"/>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7"/>
      <c r="FI22" s="27"/>
    </row>
    <row r="23" spans="1:165" ht="43.5" customHeight="1">
      <c r="A23" s="94" t="s">
        <v>39</v>
      </c>
      <c r="B23" s="95" t="s">
        <v>40</v>
      </c>
      <c r="C23" s="16"/>
      <c r="D23" s="16"/>
      <c r="E23" s="113">
        <f>59567+49936+60510+58216+58585</f>
        <v>286814</v>
      </c>
      <c r="F23" s="113">
        <v>58585</v>
      </c>
      <c r="G23" s="27"/>
      <c r="H23" s="27"/>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7"/>
      <c r="FI23" s="27"/>
    </row>
    <row r="24" spans="1:165">
      <c r="A24" s="93" t="s">
        <v>41</v>
      </c>
      <c r="B24" s="96" t="s">
        <v>42</v>
      </c>
      <c r="C24" s="19">
        <f t="shared" ref="C24:F24" si="6">C25+C26</f>
        <v>0</v>
      </c>
      <c r="D24" s="19">
        <f t="shared" si="6"/>
        <v>0</v>
      </c>
      <c r="E24" s="19">
        <f t="shared" si="6"/>
        <v>5802</v>
      </c>
      <c r="F24" s="19">
        <f t="shared" si="6"/>
        <v>4564</v>
      </c>
      <c r="G24" s="27"/>
      <c r="H24" s="27"/>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7"/>
      <c r="FI24" s="27"/>
    </row>
    <row r="25" spans="1:165">
      <c r="A25" s="94" t="s">
        <v>43</v>
      </c>
      <c r="B25" s="95" t="s">
        <v>44</v>
      </c>
      <c r="C25" s="16"/>
      <c r="D25" s="16"/>
      <c r="E25" s="113">
        <f>1055+1678-2418+923+4564</f>
        <v>5802</v>
      </c>
      <c r="F25" s="113">
        <v>4564</v>
      </c>
      <c r="G25" s="27"/>
      <c r="H25" s="27"/>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7"/>
      <c r="FI25" s="27"/>
    </row>
    <row r="26" spans="1:165" ht="25.5">
      <c r="A26" s="94" t="s">
        <v>45</v>
      </c>
      <c r="B26" s="95" t="s">
        <v>46</v>
      </c>
      <c r="C26" s="16"/>
      <c r="D26" s="16"/>
      <c r="E26" s="113"/>
      <c r="F26" s="113"/>
      <c r="G26" s="27"/>
      <c r="H26" s="27"/>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7"/>
      <c r="FI26" s="27"/>
    </row>
    <row r="27" spans="1:165" ht="25.5">
      <c r="A27" s="94" t="s">
        <v>47</v>
      </c>
      <c r="B27" s="95" t="s">
        <v>48</v>
      </c>
      <c r="C27" s="16">
        <v>19606000</v>
      </c>
      <c r="D27" s="16">
        <v>9782000</v>
      </c>
      <c r="E27" s="113">
        <f>1653770.52+1626706.01+1746607.1+1841509.03+1779983.3</f>
        <v>8648575.9600000009</v>
      </c>
      <c r="F27" s="113">
        <v>1779983.3</v>
      </c>
      <c r="G27" s="27"/>
      <c r="H27" s="27"/>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7"/>
      <c r="FI27" s="27"/>
    </row>
    <row r="28" spans="1:165">
      <c r="A28" s="93" t="s">
        <v>49</v>
      </c>
      <c r="B28" s="15" t="s">
        <v>50</v>
      </c>
      <c r="C28" s="16">
        <f t="shared" ref="C28:F28" si="7">C29+C35+C51+C36+C37+C38+C39+C40+C41+C42+C43+C44+C45+C46+C47+C48+C49+C50</f>
        <v>462745000</v>
      </c>
      <c r="D28" s="16">
        <f t="shared" si="7"/>
        <v>252440000</v>
      </c>
      <c r="E28" s="16">
        <f t="shared" si="7"/>
        <v>158692213.5</v>
      </c>
      <c r="F28" s="16">
        <f t="shared" si="7"/>
        <v>37471144</v>
      </c>
      <c r="G28" s="27"/>
      <c r="H28" s="27"/>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7"/>
      <c r="FI28" s="27"/>
    </row>
    <row r="29" spans="1:165" ht="25.5">
      <c r="A29" s="93" t="s">
        <v>51</v>
      </c>
      <c r="B29" s="15" t="s">
        <v>52</v>
      </c>
      <c r="C29" s="16">
        <f t="shared" ref="C29:F29" si="8">C30+C31+C32+C33+C34</f>
        <v>449309000</v>
      </c>
      <c r="D29" s="16">
        <f t="shared" si="8"/>
        <v>242424000</v>
      </c>
      <c r="E29" s="16">
        <f t="shared" si="8"/>
        <v>149705051</v>
      </c>
      <c r="F29" s="16">
        <f t="shared" si="8"/>
        <v>31924076</v>
      </c>
      <c r="G29" s="27"/>
      <c r="H29" s="27"/>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7"/>
      <c r="FI29" s="27"/>
    </row>
    <row r="30" spans="1:165" ht="25.5">
      <c r="A30" s="94" t="s">
        <v>53</v>
      </c>
      <c r="B30" s="18" t="s">
        <v>54</v>
      </c>
      <c r="C30" s="16">
        <v>449309000</v>
      </c>
      <c r="D30" s="16">
        <v>242424000</v>
      </c>
      <c r="E30" s="113">
        <f>29303527+28285352+31060348+32029465+31924098</f>
        <v>152602790</v>
      </c>
      <c r="F30" s="113">
        <v>31924098</v>
      </c>
      <c r="G30" s="27"/>
      <c r="H30" s="27"/>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7"/>
      <c r="FI30" s="27"/>
    </row>
    <row r="31" spans="1:165" ht="38.25">
      <c r="A31" s="94" t="s">
        <v>55</v>
      </c>
      <c r="B31" s="97" t="s">
        <v>56</v>
      </c>
      <c r="C31" s="16"/>
      <c r="D31" s="16"/>
      <c r="E31" s="113">
        <f>6013+6197-15615+11387-1479</f>
        <v>6503</v>
      </c>
      <c r="F31" s="113">
        <v>-1479</v>
      </c>
      <c r="G31" s="27"/>
      <c r="H31" s="27"/>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7"/>
      <c r="FI31" s="27"/>
    </row>
    <row r="32" spans="1:165" ht="27.75" customHeight="1">
      <c r="A32" s="94" t="s">
        <v>57</v>
      </c>
      <c r="B32" s="18" t="s">
        <v>58</v>
      </c>
      <c r="C32" s="16"/>
      <c r="D32" s="16"/>
      <c r="E32" s="113"/>
      <c r="F32" s="113"/>
      <c r="G32" s="27"/>
      <c r="H32" s="27"/>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7"/>
      <c r="FI32" s="27"/>
    </row>
    <row r="33" spans="1:165">
      <c r="A33" s="94" t="s">
        <v>59</v>
      </c>
      <c r="B33" s="18" t="s">
        <v>60</v>
      </c>
      <c r="C33" s="16"/>
      <c r="D33" s="16"/>
      <c r="E33" s="113">
        <f>1389+58098-3016499+51313+1457</f>
        <v>-2904242</v>
      </c>
      <c r="F33" s="113">
        <v>1457</v>
      </c>
      <c r="G33" s="27"/>
      <c r="H33" s="27"/>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7"/>
      <c r="FI33" s="27"/>
    </row>
    <row r="34" spans="1:165">
      <c r="A34" s="94" t="s">
        <v>61</v>
      </c>
      <c r="B34" s="18" t="s">
        <v>62</v>
      </c>
      <c r="C34" s="16"/>
      <c r="D34" s="16"/>
      <c r="E34" s="113"/>
      <c r="F34" s="113"/>
      <c r="G34" s="27"/>
      <c r="H34" s="27"/>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7"/>
      <c r="FI34" s="27"/>
    </row>
    <row r="35" spans="1:165">
      <c r="A35" s="94" t="s">
        <v>63</v>
      </c>
      <c r="B35" s="18" t="s">
        <v>64</v>
      </c>
      <c r="C35" s="16"/>
      <c r="D35" s="16"/>
      <c r="E35" s="113"/>
      <c r="F35" s="113"/>
      <c r="G35" s="27"/>
      <c r="H35" s="27"/>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7"/>
      <c r="FI35" s="27"/>
    </row>
    <row r="36" spans="1:165" ht="25.5">
      <c r="A36" s="94" t="s">
        <v>65</v>
      </c>
      <c r="B36" s="98" t="s">
        <v>66</v>
      </c>
      <c r="C36" s="16"/>
      <c r="D36" s="16"/>
      <c r="E36" s="113"/>
      <c r="F36" s="113"/>
      <c r="G36" s="27"/>
      <c r="H36" s="27"/>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7"/>
      <c r="FI36" s="27"/>
    </row>
    <row r="37" spans="1:165" ht="38.25">
      <c r="A37" s="94" t="s">
        <v>67</v>
      </c>
      <c r="B37" s="18" t="s">
        <v>68</v>
      </c>
      <c r="C37" s="16">
        <v>10000</v>
      </c>
      <c r="D37" s="16">
        <v>7000</v>
      </c>
      <c r="E37" s="113">
        <f>7808+2406+2642+2778+1133</f>
        <v>16767</v>
      </c>
      <c r="F37" s="113">
        <v>1133</v>
      </c>
      <c r="G37" s="27"/>
      <c r="H37" s="27"/>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7"/>
      <c r="FI37" s="27"/>
    </row>
    <row r="38" spans="1:165" ht="51">
      <c r="A38" s="94" t="s">
        <v>69</v>
      </c>
      <c r="B38" s="18" t="s">
        <v>70</v>
      </c>
      <c r="C38" s="16"/>
      <c r="D38" s="16"/>
      <c r="E38" s="113">
        <f>42+186</f>
        <v>228</v>
      </c>
      <c r="F38" s="113">
        <v>186</v>
      </c>
      <c r="G38" s="27"/>
      <c r="H38" s="27"/>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7"/>
      <c r="FI38" s="27"/>
    </row>
    <row r="39" spans="1:165" ht="38.25">
      <c r="A39" s="94" t="s">
        <v>71</v>
      </c>
      <c r="B39" s="18" t="s">
        <v>72</v>
      </c>
      <c r="C39" s="16"/>
      <c r="D39" s="16"/>
      <c r="E39" s="113"/>
      <c r="F39" s="113"/>
      <c r="G39" s="27"/>
      <c r="H39" s="27"/>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7"/>
      <c r="FI39" s="27"/>
    </row>
    <row r="40" spans="1:165" ht="38.25">
      <c r="A40" s="94" t="s">
        <v>73</v>
      </c>
      <c r="B40" s="18" t="s">
        <v>74</v>
      </c>
      <c r="C40" s="16"/>
      <c r="D40" s="16"/>
      <c r="E40" s="113"/>
      <c r="F40" s="113"/>
      <c r="G40" s="27"/>
      <c r="H40" s="27"/>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7"/>
      <c r="FI40" s="27"/>
    </row>
    <row r="41" spans="1:165" ht="38.25">
      <c r="A41" s="94" t="s">
        <v>75</v>
      </c>
      <c r="B41" s="18" t="s">
        <v>76</v>
      </c>
      <c r="C41" s="16"/>
      <c r="D41" s="16"/>
      <c r="E41" s="113"/>
      <c r="F41" s="113"/>
      <c r="G41" s="27"/>
      <c r="H41" s="27"/>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7"/>
      <c r="FI41" s="27"/>
    </row>
    <row r="42" spans="1:165" ht="38.25">
      <c r="A42" s="94" t="s">
        <v>77</v>
      </c>
      <c r="B42" s="18" t="s">
        <v>78</v>
      </c>
      <c r="C42" s="16"/>
      <c r="D42" s="16"/>
      <c r="E42" s="113"/>
      <c r="F42" s="113"/>
      <c r="G42" s="27"/>
      <c r="H42" s="27"/>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7"/>
      <c r="FI42" s="27"/>
    </row>
    <row r="43" spans="1:165" ht="25.5">
      <c r="A43" s="94" t="s">
        <v>79</v>
      </c>
      <c r="B43" s="18" t="s">
        <v>80</v>
      </c>
      <c r="C43" s="16">
        <v>1000</v>
      </c>
      <c r="D43" s="16"/>
      <c r="E43" s="113"/>
      <c r="F43" s="113"/>
      <c r="G43" s="27"/>
      <c r="H43" s="27"/>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7"/>
      <c r="FI43" s="27"/>
    </row>
    <row r="44" spans="1:165" ht="25.5">
      <c r="A44" s="94" t="s">
        <v>81</v>
      </c>
      <c r="B44" s="18" t="s">
        <v>82</v>
      </c>
      <c r="C44" s="16"/>
      <c r="D44" s="16"/>
      <c r="E44" s="113">
        <f>92-1969+2600+72+109</f>
        <v>904</v>
      </c>
      <c r="F44" s="113">
        <v>109</v>
      </c>
      <c r="G44" s="27"/>
      <c r="H44" s="27"/>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7"/>
      <c r="FI44" s="27"/>
    </row>
    <row r="45" spans="1:165">
      <c r="A45" s="94" t="s">
        <v>83</v>
      </c>
      <c r="B45" s="18" t="s">
        <v>84</v>
      </c>
      <c r="C45" s="16"/>
      <c r="D45" s="16"/>
      <c r="E45" s="113">
        <f>32881-198-126644-5+4289</f>
        <v>-89677</v>
      </c>
      <c r="F45" s="113">
        <v>4289</v>
      </c>
      <c r="G45" s="27"/>
      <c r="H45" s="27"/>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7"/>
      <c r="FI45" s="27"/>
    </row>
    <row r="46" spans="1:165">
      <c r="A46" s="94" t="s">
        <v>85</v>
      </c>
      <c r="B46" s="18" t="s">
        <v>86</v>
      </c>
      <c r="C46" s="16">
        <v>96000</v>
      </c>
      <c r="D46" s="16">
        <v>49000</v>
      </c>
      <c r="E46" s="113">
        <f>14251+12183+17642+11465+13248</f>
        <v>68789</v>
      </c>
      <c r="F46" s="113">
        <v>13248</v>
      </c>
      <c r="G46" s="27"/>
      <c r="H46" s="27"/>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7"/>
      <c r="FI46" s="27"/>
    </row>
    <row r="47" spans="1:165" ht="38.25" customHeight="1">
      <c r="A47" s="99" t="s">
        <v>87</v>
      </c>
      <c r="B47" s="20" t="s">
        <v>88</v>
      </c>
      <c r="C47" s="16"/>
      <c r="D47" s="16"/>
      <c r="E47" s="113"/>
      <c r="F47" s="113"/>
      <c r="G47" s="27"/>
      <c r="H47" s="27"/>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7"/>
      <c r="FI47" s="27"/>
    </row>
    <row r="48" spans="1:165">
      <c r="A48" s="99" t="s">
        <v>89</v>
      </c>
      <c r="B48" s="20" t="s">
        <v>90</v>
      </c>
      <c r="C48" s="16"/>
      <c r="D48" s="16"/>
      <c r="E48" s="113"/>
      <c r="F48" s="113"/>
      <c r="G48" s="27"/>
      <c r="H48" s="27"/>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7"/>
      <c r="FI48" s="27"/>
    </row>
    <row r="49" spans="1:165" ht="25.5">
      <c r="A49" s="99" t="s">
        <v>91</v>
      </c>
      <c r="B49" s="20" t="s">
        <v>92</v>
      </c>
      <c r="C49" s="16">
        <v>253000</v>
      </c>
      <c r="D49" s="16">
        <v>126000</v>
      </c>
      <c r="E49" s="113">
        <f>24212+29070+30315+40266+39953</f>
        <v>163816</v>
      </c>
      <c r="F49" s="113">
        <v>39953</v>
      </c>
      <c r="G49" s="27"/>
      <c r="H49" s="27"/>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7"/>
      <c r="FI49" s="27"/>
    </row>
    <row r="50" spans="1:165">
      <c r="A50" s="99" t="s">
        <v>93</v>
      </c>
      <c r="B50" s="20" t="s">
        <v>94</v>
      </c>
      <c r="C50" s="16">
        <v>13076000</v>
      </c>
      <c r="D50" s="16">
        <v>9834000</v>
      </c>
      <c r="E50" s="113">
        <f>509632.5+691925+1212062+924566+5488150</f>
        <v>8826335.5</v>
      </c>
      <c r="F50" s="113">
        <v>5488150</v>
      </c>
      <c r="G50" s="27"/>
      <c r="H50" s="27"/>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7"/>
      <c r="FI50" s="27"/>
    </row>
    <row r="51" spans="1:165">
      <c r="A51" s="94" t="s">
        <v>95</v>
      </c>
      <c r="B51" s="18" t="s">
        <v>96</v>
      </c>
      <c r="C51" s="16"/>
      <c r="D51" s="16"/>
      <c r="E51" s="113"/>
      <c r="F51" s="113"/>
      <c r="G51" s="27"/>
      <c r="H51" s="27"/>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7"/>
      <c r="FI51" s="27"/>
    </row>
    <row r="52" spans="1:165">
      <c r="A52" s="93" t="s">
        <v>97</v>
      </c>
      <c r="B52" s="15" t="s">
        <v>98</v>
      </c>
      <c r="C52" s="16">
        <f t="shared" ref="C52:F52" si="9">+C53+C58</f>
        <v>623000</v>
      </c>
      <c r="D52" s="16">
        <f t="shared" si="9"/>
        <v>173000</v>
      </c>
      <c r="E52" s="16">
        <f t="shared" si="9"/>
        <v>144975.16999999998</v>
      </c>
      <c r="F52" s="16">
        <f t="shared" si="9"/>
        <v>37584.199999999997</v>
      </c>
      <c r="G52" s="27"/>
      <c r="H52" s="27"/>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7"/>
      <c r="FI52" s="27"/>
    </row>
    <row r="53" spans="1:165">
      <c r="A53" s="93" t="s">
        <v>99</v>
      </c>
      <c r="B53" s="15" t="s">
        <v>100</v>
      </c>
      <c r="C53" s="16">
        <f t="shared" ref="C53:F53" si="10">+C54+C56</f>
        <v>0</v>
      </c>
      <c r="D53" s="16">
        <f t="shared" si="10"/>
        <v>0</v>
      </c>
      <c r="E53" s="16">
        <f t="shared" si="10"/>
        <v>0</v>
      </c>
      <c r="F53" s="16">
        <f t="shared" si="10"/>
        <v>0</v>
      </c>
      <c r="G53" s="27"/>
      <c r="H53" s="27"/>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7"/>
      <c r="FI53" s="27"/>
    </row>
    <row r="54" spans="1:165">
      <c r="A54" s="93" t="s">
        <v>101</v>
      </c>
      <c r="B54" s="15" t="s">
        <v>102</v>
      </c>
      <c r="C54" s="16">
        <f t="shared" ref="C54:F54" si="11">+C55</f>
        <v>0</v>
      </c>
      <c r="D54" s="16">
        <f t="shared" si="11"/>
        <v>0</v>
      </c>
      <c r="E54" s="16">
        <f t="shared" si="11"/>
        <v>0</v>
      </c>
      <c r="F54" s="16">
        <f t="shared" si="11"/>
        <v>0</v>
      </c>
      <c r="G54" s="27"/>
      <c r="H54" s="27"/>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7"/>
      <c r="FI54" s="27"/>
    </row>
    <row r="55" spans="1:165">
      <c r="A55" s="94" t="s">
        <v>103</v>
      </c>
      <c r="B55" s="18" t="s">
        <v>104</v>
      </c>
      <c r="C55" s="16"/>
      <c r="D55" s="16"/>
      <c r="E55" s="113"/>
      <c r="F55" s="113"/>
      <c r="G55" s="27"/>
      <c r="H55" s="27"/>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7"/>
      <c r="FI55" s="27"/>
    </row>
    <row r="56" spans="1:165">
      <c r="A56" s="93" t="s">
        <v>105</v>
      </c>
      <c r="B56" s="15" t="s">
        <v>106</v>
      </c>
      <c r="C56" s="16">
        <f t="shared" ref="C56:F56" si="12">+C57</f>
        <v>0</v>
      </c>
      <c r="D56" s="16">
        <f t="shared" si="12"/>
        <v>0</v>
      </c>
      <c r="E56" s="16">
        <f t="shared" si="12"/>
        <v>0</v>
      </c>
      <c r="F56" s="16">
        <f t="shared" si="12"/>
        <v>0</v>
      </c>
      <c r="G56" s="27"/>
      <c r="H56" s="27"/>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7"/>
      <c r="FI56" s="27"/>
    </row>
    <row r="57" spans="1:165">
      <c r="A57" s="94" t="s">
        <v>107</v>
      </c>
      <c r="B57" s="18" t="s">
        <v>108</v>
      </c>
      <c r="C57" s="16"/>
      <c r="D57" s="16"/>
      <c r="E57" s="113"/>
      <c r="F57" s="113"/>
      <c r="G57" s="27"/>
      <c r="H57" s="27"/>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7"/>
      <c r="FI57" s="27"/>
    </row>
    <row r="58" spans="1:165" s="21" customFormat="1">
      <c r="A58" s="100" t="s">
        <v>109</v>
      </c>
      <c r="B58" s="15" t="s">
        <v>110</v>
      </c>
      <c r="C58" s="16">
        <f t="shared" ref="C58:F58" si="13">+C59+C64</f>
        <v>623000</v>
      </c>
      <c r="D58" s="16">
        <f t="shared" si="13"/>
        <v>173000</v>
      </c>
      <c r="E58" s="16">
        <f t="shared" si="13"/>
        <v>144975.16999999998</v>
      </c>
      <c r="F58" s="16">
        <f t="shared" si="13"/>
        <v>37584.199999999997</v>
      </c>
      <c r="G58" s="4"/>
      <c r="H58" s="27"/>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row>
    <row r="59" spans="1:165">
      <c r="A59" s="93" t="s">
        <v>111</v>
      </c>
      <c r="B59" s="15" t="s">
        <v>112</v>
      </c>
      <c r="C59" s="16">
        <f t="shared" ref="C59:F59" si="14">C63+C61+C62+C60</f>
        <v>623000</v>
      </c>
      <c r="D59" s="16">
        <f t="shared" si="14"/>
        <v>173000</v>
      </c>
      <c r="E59" s="16">
        <f t="shared" si="14"/>
        <v>144975.16999999998</v>
      </c>
      <c r="F59" s="16">
        <f t="shared" si="14"/>
        <v>37584.199999999997</v>
      </c>
      <c r="G59" s="27"/>
      <c r="H59" s="27"/>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7"/>
      <c r="FI59" s="27"/>
    </row>
    <row r="60" spans="1:165">
      <c r="A60" s="93" t="s">
        <v>113</v>
      </c>
      <c r="B60" s="15" t="s">
        <v>114</v>
      </c>
      <c r="C60" s="16">
        <v>108000</v>
      </c>
      <c r="D60" s="16">
        <v>28000</v>
      </c>
      <c r="E60" s="16">
        <f>14116+4359</f>
        <v>18475</v>
      </c>
      <c r="F60" s="16">
        <v>0</v>
      </c>
      <c r="G60" s="27"/>
      <c r="H60" s="27"/>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7"/>
      <c r="FI60" s="27"/>
    </row>
    <row r="61" spans="1:165">
      <c r="A61" s="22" t="s">
        <v>115</v>
      </c>
      <c r="B61" s="15" t="s">
        <v>116</v>
      </c>
      <c r="C61" s="16"/>
      <c r="D61" s="16"/>
      <c r="E61" s="16">
        <v>-3910</v>
      </c>
      <c r="F61" s="16">
        <v>0</v>
      </c>
      <c r="G61" s="27"/>
      <c r="H61" s="27"/>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7"/>
      <c r="FI61" s="27"/>
    </row>
    <row r="62" spans="1:165">
      <c r="A62" s="22" t="s">
        <v>117</v>
      </c>
      <c r="B62" s="15" t="s">
        <v>118</v>
      </c>
      <c r="C62" s="16"/>
      <c r="D62" s="16"/>
      <c r="E62" s="16"/>
      <c r="F62" s="16"/>
      <c r="G62" s="27"/>
      <c r="H62" s="2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7"/>
      <c r="FI62" s="27"/>
    </row>
    <row r="63" spans="1:165">
      <c r="A63" s="94" t="s">
        <v>119</v>
      </c>
      <c r="B63" s="23" t="s">
        <v>120</v>
      </c>
      <c r="C63" s="16">
        <v>515000</v>
      </c>
      <c r="D63" s="16">
        <v>145000</v>
      </c>
      <c r="E63" s="113">
        <f>24649.06+34135.01+11181.5+22860.4+37584.2</f>
        <v>130410.17</v>
      </c>
      <c r="F63" s="113">
        <v>37584.199999999997</v>
      </c>
      <c r="G63" s="27"/>
      <c r="H63" s="2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7"/>
      <c r="FI63" s="27"/>
    </row>
    <row r="64" spans="1:165">
      <c r="A64" s="93" t="s">
        <v>121</v>
      </c>
      <c r="B64" s="15" t="s">
        <v>122</v>
      </c>
      <c r="C64" s="16">
        <f t="shared" ref="C64:F64" si="15">C65</f>
        <v>0</v>
      </c>
      <c r="D64" s="16">
        <f t="shared" si="15"/>
        <v>0</v>
      </c>
      <c r="E64" s="16">
        <f t="shared" si="15"/>
        <v>0</v>
      </c>
      <c r="F64" s="16">
        <f t="shared" si="15"/>
        <v>0</v>
      </c>
      <c r="G64" s="27"/>
      <c r="H64" s="2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7"/>
      <c r="FI64" s="27"/>
    </row>
    <row r="65" spans="1:165">
      <c r="A65" s="94" t="s">
        <v>123</v>
      </c>
      <c r="B65" s="23" t="s">
        <v>124</v>
      </c>
      <c r="C65" s="16"/>
      <c r="D65" s="16"/>
      <c r="E65" s="113"/>
      <c r="F65" s="113"/>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7"/>
      <c r="FI65" s="27"/>
    </row>
    <row r="66" spans="1:165">
      <c r="A66" s="93" t="s">
        <v>125</v>
      </c>
      <c r="B66" s="15" t="s">
        <v>126</v>
      </c>
      <c r="C66" s="16">
        <f t="shared" ref="C66:F66" si="16">+C67</f>
        <v>56421840</v>
      </c>
      <c r="D66" s="16">
        <f t="shared" si="16"/>
        <v>56421840</v>
      </c>
      <c r="E66" s="16">
        <f t="shared" si="16"/>
        <v>56229091</v>
      </c>
      <c r="F66" s="16">
        <f t="shared" si="16"/>
        <v>0</v>
      </c>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7"/>
      <c r="FI66" s="27"/>
    </row>
    <row r="67" spans="1:165">
      <c r="A67" s="93" t="s">
        <v>127</v>
      </c>
      <c r="B67" s="15" t="s">
        <v>128</v>
      </c>
      <c r="C67" s="16">
        <f t="shared" ref="C67:F67" si="17">+C68+C81</f>
        <v>56421840</v>
      </c>
      <c r="D67" s="16">
        <f t="shared" si="17"/>
        <v>56421840</v>
      </c>
      <c r="E67" s="16">
        <f t="shared" si="17"/>
        <v>56229091</v>
      </c>
      <c r="F67" s="16">
        <f t="shared" si="17"/>
        <v>0</v>
      </c>
      <c r="G67" s="27"/>
      <c r="H67" s="2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7"/>
      <c r="FI67" s="27"/>
    </row>
    <row r="68" spans="1:165">
      <c r="A68" s="93" t="s">
        <v>129</v>
      </c>
      <c r="B68" s="15" t="s">
        <v>130</v>
      </c>
      <c r="C68" s="16">
        <f t="shared" ref="C68:F68" si="18">C69+C70+C71+C72+C74+C75+C76+C77+C73+C78+C79+C80</f>
        <v>56421840</v>
      </c>
      <c r="D68" s="16">
        <f t="shared" si="18"/>
        <v>56421840</v>
      </c>
      <c r="E68" s="16">
        <f t="shared" si="18"/>
        <v>56229091</v>
      </c>
      <c r="F68" s="16">
        <f t="shared" si="18"/>
        <v>0</v>
      </c>
      <c r="G68" s="27"/>
      <c r="H68" s="2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7"/>
      <c r="FI68" s="27"/>
    </row>
    <row r="69" spans="1:165" ht="25.5">
      <c r="A69" s="94" t="s">
        <v>131</v>
      </c>
      <c r="B69" s="23" t="s">
        <v>132</v>
      </c>
      <c r="C69" s="16"/>
      <c r="D69" s="16"/>
      <c r="E69" s="113"/>
      <c r="F69" s="113"/>
      <c r="G69" s="27"/>
      <c r="H69" s="2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7"/>
      <c r="FI69" s="27"/>
    </row>
    <row r="70" spans="1:165" ht="25.5">
      <c r="A70" s="94" t="s">
        <v>133</v>
      </c>
      <c r="B70" s="23" t="s">
        <v>134</v>
      </c>
      <c r="C70" s="16"/>
      <c r="D70" s="16"/>
      <c r="E70" s="113"/>
      <c r="F70" s="113"/>
      <c r="G70" s="27"/>
      <c r="H70" s="2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7"/>
      <c r="FI70" s="27"/>
    </row>
    <row r="71" spans="1:165" ht="25.5">
      <c r="A71" s="101" t="s">
        <v>135</v>
      </c>
      <c r="B71" s="23" t="s">
        <v>136</v>
      </c>
      <c r="C71" s="16">
        <v>47560720</v>
      </c>
      <c r="D71" s="16">
        <v>47560720</v>
      </c>
      <c r="E71" s="113">
        <v>47560720</v>
      </c>
      <c r="F71" s="113">
        <v>0</v>
      </c>
      <c r="G71" s="27"/>
      <c r="H71" s="2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7"/>
      <c r="FI71" s="27"/>
    </row>
    <row r="72" spans="1:165" ht="25.5">
      <c r="A72" s="94" t="s">
        <v>137</v>
      </c>
      <c r="B72" s="24" t="s">
        <v>138</v>
      </c>
      <c r="C72" s="16"/>
      <c r="D72" s="16"/>
      <c r="E72" s="113">
        <f>-104296-88453</f>
        <v>-192749</v>
      </c>
      <c r="F72" s="113">
        <v>0</v>
      </c>
      <c r="G72" s="27"/>
      <c r="H72" s="2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7"/>
      <c r="FI72" s="27"/>
    </row>
    <row r="73" spans="1:165">
      <c r="A73" s="94" t="s">
        <v>139</v>
      </c>
      <c r="B73" s="24" t="s">
        <v>140</v>
      </c>
      <c r="C73" s="16"/>
      <c r="D73" s="16"/>
      <c r="E73" s="113"/>
      <c r="F73" s="113"/>
      <c r="G73" s="27"/>
      <c r="H73" s="2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7"/>
      <c r="FI73" s="27"/>
    </row>
    <row r="74" spans="1:165" ht="25.5">
      <c r="A74" s="94" t="s">
        <v>141</v>
      </c>
      <c r="B74" s="24" t="s">
        <v>142</v>
      </c>
      <c r="C74" s="16"/>
      <c r="D74" s="16"/>
      <c r="E74" s="113"/>
      <c r="F74" s="113"/>
      <c r="G74" s="27"/>
      <c r="H74" s="2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7"/>
      <c r="FI74" s="27"/>
    </row>
    <row r="75" spans="1:165" ht="25.5">
      <c r="A75" s="94" t="s">
        <v>143</v>
      </c>
      <c r="B75" s="24" t="s">
        <v>144</v>
      </c>
      <c r="C75" s="16"/>
      <c r="D75" s="16"/>
      <c r="E75" s="113"/>
      <c r="F75" s="113"/>
      <c r="G75" s="27"/>
      <c r="H75" s="2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7"/>
      <c r="FI75" s="27"/>
    </row>
    <row r="76" spans="1:165" ht="25.5">
      <c r="A76" s="94" t="s">
        <v>145</v>
      </c>
      <c r="B76" s="24" t="s">
        <v>146</v>
      </c>
      <c r="C76" s="16"/>
      <c r="D76" s="16"/>
      <c r="E76" s="113"/>
      <c r="F76" s="113"/>
      <c r="G76" s="27"/>
      <c r="H76" s="2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7"/>
      <c r="FI76" s="27"/>
    </row>
    <row r="77" spans="1:165" ht="51">
      <c r="A77" s="94" t="s">
        <v>147</v>
      </c>
      <c r="B77" s="24" t="s">
        <v>148</v>
      </c>
      <c r="C77" s="16"/>
      <c r="D77" s="16"/>
      <c r="E77" s="113"/>
      <c r="F77" s="113"/>
      <c r="G77" s="27"/>
      <c r="H77" s="2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7"/>
      <c r="FI77" s="27"/>
    </row>
    <row r="78" spans="1:165" ht="25.5">
      <c r="A78" s="94" t="s">
        <v>149</v>
      </c>
      <c r="B78" s="24" t="s">
        <v>150</v>
      </c>
      <c r="C78" s="16">
        <v>3742080</v>
      </c>
      <c r="D78" s="16">
        <v>3742080</v>
      </c>
      <c r="E78" s="113">
        <v>3742080</v>
      </c>
      <c r="F78" s="113">
        <v>0</v>
      </c>
      <c r="G78" s="27"/>
      <c r="H78" s="2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7"/>
      <c r="FI78" s="27"/>
    </row>
    <row r="79" spans="1:165" ht="25.5">
      <c r="A79" s="94" t="s">
        <v>151</v>
      </c>
      <c r="B79" s="24" t="s">
        <v>152</v>
      </c>
      <c r="C79" s="16"/>
      <c r="D79" s="16"/>
      <c r="E79" s="113"/>
      <c r="F79" s="113"/>
      <c r="G79" s="27"/>
      <c r="H79" s="2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7"/>
      <c r="FI79" s="27"/>
    </row>
    <row r="80" spans="1:165" ht="51">
      <c r="A80" s="94" t="s">
        <v>153</v>
      </c>
      <c r="B80" s="24" t="s">
        <v>154</v>
      </c>
      <c r="C80" s="16">
        <v>5119040</v>
      </c>
      <c r="D80" s="16">
        <v>5119040</v>
      </c>
      <c r="E80" s="113">
        <v>5119040</v>
      </c>
      <c r="F80" s="113">
        <v>0</v>
      </c>
      <c r="G80" s="27"/>
      <c r="H80" s="2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7"/>
      <c r="FI80" s="27"/>
    </row>
    <row r="81" spans="1:165">
      <c r="A81" s="93" t="s">
        <v>155</v>
      </c>
      <c r="B81" s="15" t="s">
        <v>156</v>
      </c>
      <c r="C81" s="16">
        <f t="shared" ref="C81:F81" si="19">+C82+C83+C84+C85+C86+C87+C88+C89</f>
        <v>0</v>
      </c>
      <c r="D81" s="16">
        <f t="shared" si="19"/>
        <v>0</v>
      </c>
      <c r="E81" s="16">
        <f t="shared" si="19"/>
        <v>0</v>
      </c>
      <c r="F81" s="16">
        <f t="shared" si="19"/>
        <v>0</v>
      </c>
      <c r="G81" s="27"/>
      <c r="H81" s="2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7"/>
      <c r="FI81" s="27"/>
    </row>
    <row r="82" spans="1:165" ht="25.5">
      <c r="A82" s="94" t="s">
        <v>157</v>
      </c>
      <c r="B82" s="18" t="s">
        <v>158</v>
      </c>
      <c r="C82" s="16"/>
      <c r="D82" s="16"/>
      <c r="E82" s="113"/>
      <c r="F82" s="113"/>
      <c r="G82" s="27"/>
      <c r="H82" s="2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7"/>
      <c r="FI82" s="27"/>
    </row>
    <row r="83" spans="1:165" ht="25.5">
      <c r="A83" s="94" t="s">
        <v>159</v>
      </c>
      <c r="B83" s="25" t="s">
        <v>138</v>
      </c>
      <c r="C83" s="16"/>
      <c r="D83" s="16"/>
      <c r="E83" s="113"/>
      <c r="F83" s="113"/>
      <c r="G83" s="27"/>
      <c r="H83" s="2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7"/>
      <c r="FI83" s="27"/>
    </row>
    <row r="84" spans="1:165" ht="38.25">
      <c r="A84" s="94" t="s">
        <v>160</v>
      </c>
      <c r="B84" s="18" t="s">
        <v>161</v>
      </c>
      <c r="C84" s="16"/>
      <c r="D84" s="16"/>
      <c r="E84" s="113"/>
      <c r="F84" s="113"/>
      <c r="G84" s="27"/>
      <c r="H84" s="2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7"/>
      <c r="FI84" s="27"/>
    </row>
    <row r="85" spans="1:165" ht="38.25">
      <c r="A85" s="94" t="s">
        <v>162</v>
      </c>
      <c r="B85" s="18" t="s">
        <v>163</v>
      </c>
      <c r="C85" s="16"/>
      <c r="D85" s="16"/>
      <c r="E85" s="113"/>
      <c r="F85" s="113"/>
      <c r="G85" s="27"/>
      <c r="H85" s="2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7"/>
      <c r="FI85" s="27"/>
    </row>
    <row r="86" spans="1:165" ht="25.5">
      <c r="A86" s="94" t="s">
        <v>164</v>
      </c>
      <c r="B86" s="18" t="s">
        <v>142</v>
      </c>
      <c r="C86" s="16"/>
      <c r="D86" s="16"/>
      <c r="E86" s="113"/>
      <c r="F86" s="113"/>
      <c r="G86" s="27"/>
      <c r="H86" s="27"/>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7"/>
      <c r="FI86" s="27"/>
    </row>
    <row r="87" spans="1:165">
      <c r="A87" s="98" t="s">
        <v>165</v>
      </c>
      <c r="B87" s="18" t="s">
        <v>166</v>
      </c>
      <c r="C87" s="16"/>
      <c r="D87" s="16"/>
      <c r="E87" s="113"/>
      <c r="F87" s="113"/>
      <c r="H87" s="27"/>
      <c r="AT87" s="27"/>
      <c r="BT87" s="27"/>
      <c r="BU87" s="27"/>
      <c r="BV87" s="27"/>
      <c r="CN87" s="27"/>
    </row>
    <row r="88" spans="1:165" ht="63.75">
      <c r="A88" s="18" t="s">
        <v>167</v>
      </c>
      <c r="B88" s="26" t="s">
        <v>168</v>
      </c>
      <c r="C88" s="16"/>
      <c r="D88" s="16"/>
      <c r="E88" s="113"/>
      <c r="F88" s="113"/>
      <c r="H88" s="27"/>
      <c r="BT88" s="27"/>
      <c r="BU88" s="27"/>
      <c r="BV88" s="27"/>
      <c r="CN88" s="27"/>
    </row>
    <row r="89" spans="1:165" ht="25.5">
      <c r="A89" s="18" t="s">
        <v>169</v>
      </c>
      <c r="B89" s="28" t="s">
        <v>170</v>
      </c>
      <c r="C89" s="16"/>
      <c r="D89" s="16"/>
      <c r="E89" s="113"/>
      <c r="F89" s="113"/>
      <c r="H89" s="27"/>
      <c r="BT89" s="27"/>
      <c r="BU89" s="27"/>
      <c r="BV89" s="27"/>
      <c r="CN89" s="27"/>
    </row>
    <row r="90" spans="1:165" ht="38.25">
      <c r="A90" s="18" t="s">
        <v>171</v>
      </c>
      <c r="B90" s="29" t="s">
        <v>172</v>
      </c>
      <c r="C90" s="19">
        <f t="shared" ref="C90:F90" si="20">C93+C91</f>
        <v>0</v>
      </c>
      <c r="D90" s="19">
        <f t="shared" si="20"/>
        <v>0</v>
      </c>
      <c r="E90" s="19">
        <f t="shared" si="20"/>
        <v>0</v>
      </c>
      <c r="F90" s="19">
        <f t="shared" si="20"/>
        <v>0</v>
      </c>
      <c r="H90" s="27"/>
      <c r="BT90" s="27"/>
      <c r="BU90" s="27"/>
      <c r="BV90" s="27"/>
      <c r="CN90" s="27"/>
    </row>
    <row r="91" spans="1:165">
      <c r="A91" s="18" t="s">
        <v>173</v>
      </c>
      <c r="B91" s="28" t="s">
        <v>174</v>
      </c>
      <c r="C91" s="19">
        <f t="shared" ref="C91:F91" si="21">C92</f>
        <v>0</v>
      </c>
      <c r="D91" s="19">
        <f t="shared" si="21"/>
        <v>0</v>
      </c>
      <c r="E91" s="19">
        <f t="shared" si="21"/>
        <v>0</v>
      </c>
      <c r="F91" s="19">
        <f t="shared" si="21"/>
        <v>0</v>
      </c>
      <c r="H91" s="27"/>
      <c r="BT91" s="27"/>
      <c r="BU91" s="27"/>
      <c r="BV91" s="27"/>
      <c r="CN91" s="27"/>
    </row>
    <row r="92" spans="1:165">
      <c r="A92" s="18" t="s">
        <v>175</v>
      </c>
      <c r="B92" s="28" t="s">
        <v>176</v>
      </c>
      <c r="C92" s="19"/>
      <c r="D92" s="19"/>
      <c r="E92" s="19"/>
      <c r="F92" s="19"/>
      <c r="H92" s="27"/>
      <c r="BT92" s="27"/>
      <c r="BU92" s="27"/>
      <c r="BV92" s="27"/>
      <c r="CN92" s="27"/>
    </row>
    <row r="93" spans="1:165">
      <c r="A93" s="18" t="s">
        <v>177</v>
      </c>
      <c r="B93" s="28" t="s">
        <v>178</v>
      </c>
      <c r="C93" s="19">
        <f t="shared" ref="C93:F93" si="22">C94</f>
        <v>0</v>
      </c>
      <c r="D93" s="19">
        <f t="shared" si="22"/>
        <v>0</v>
      </c>
      <c r="E93" s="19">
        <f t="shared" si="22"/>
        <v>0</v>
      </c>
      <c r="F93" s="19">
        <f t="shared" si="22"/>
        <v>0</v>
      </c>
      <c r="G93" s="27"/>
      <c r="H93" s="27"/>
      <c r="I93" s="27"/>
      <c r="J93" s="27"/>
      <c r="BT93" s="27"/>
      <c r="BU93" s="27"/>
      <c r="BV93" s="27"/>
      <c r="CN93" s="27"/>
    </row>
    <row r="94" spans="1:165">
      <c r="A94" s="18" t="s">
        <v>179</v>
      </c>
      <c r="B94" s="28" t="s">
        <v>180</v>
      </c>
      <c r="C94" s="16"/>
      <c r="D94" s="16"/>
      <c r="E94" s="113"/>
      <c r="F94" s="113"/>
      <c r="G94" s="27"/>
      <c r="H94" s="27"/>
      <c r="I94" s="27"/>
      <c r="J94" s="27"/>
      <c r="BT94" s="27"/>
      <c r="BU94" s="27"/>
      <c r="BV94" s="27"/>
      <c r="CN94" s="27"/>
    </row>
    <row r="95" spans="1:165" ht="38.25">
      <c r="A95" s="18" t="s">
        <v>181</v>
      </c>
      <c r="B95" s="29" t="s">
        <v>172</v>
      </c>
      <c r="C95" s="19">
        <f t="shared" ref="C95:F95" si="23">C96+C99</f>
        <v>0</v>
      </c>
      <c r="D95" s="19">
        <f t="shared" si="23"/>
        <v>0</v>
      </c>
      <c r="E95" s="19">
        <f t="shared" si="23"/>
        <v>0</v>
      </c>
      <c r="F95" s="19">
        <f t="shared" si="23"/>
        <v>0</v>
      </c>
      <c r="G95" s="27"/>
      <c r="H95" s="27"/>
      <c r="I95" s="27"/>
      <c r="J95" s="27"/>
      <c r="BT95" s="27"/>
      <c r="BU95" s="27"/>
      <c r="BV95" s="27"/>
      <c r="CN95" s="27"/>
    </row>
    <row r="96" spans="1:165">
      <c r="A96" s="18" t="s">
        <v>182</v>
      </c>
      <c r="B96" s="28" t="s">
        <v>178</v>
      </c>
      <c r="C96" s="19">
        <f t="shared" ref="C96:F96" si="24">C97+C98</f>
        <v>0</v>
      </c>
      <c r="D96" s="19">
        <f t="shared" si="24"/>
        <v>0</v>
      </c>
      <c r="E96" s="19">
        <f t="shared" si="24"/>
        <v>0</v>
      </c>
      <c r="F96" s="19">
        <f t="shared" si="24"/>
        <v>0</v>
      </c>
      <c r="G96" s="27"/>
      <c r="H96" s="27"/>
      <c r="I96" s="27"/>
      <c r="J96" s="27"/>
      <c r="BT96" s="27"/>
      <c r="BU96" s="27"/>
      <c r="BV96" s="27"/>
      <c r="CN96" s="27"/>
    </row>
    <row r="97" spans="1:92">
      <c r="A97" s="18" t="s">
        <v>183</v>
      </c>
      <c r="B97" s="28" t="s">
        <v>184</v>
      </c>
      <c r="C97" s="16"/>
      <c r="D97" s="16"/>
      <c r="E97" s="113"/>
      <c r="F97" s="113"/>
      <c r="G97" s="27"/>
      <c r="H97" s="27"/>
      <c r="I97" s="27"/>
      <c r="J97" s="27"/>
      <c r="BT97" s="27"/>
      <c r="BU97" s="27"/>
      <c r="BV97" s="27"/>
      <c r="CN97" s="27"/>
    </row>
    <row r="98" spans="1:92">
      <c r="A98" s="18" t="s">
        <v>185</v>
      </c>
      <c r="B98" s="28" t="s">
        <v>186</v>
      </c>
      <c r="C98" s="16"/>
      <c r="D98" s="16"/>
      <c r="E98" s="113"/>
      <c r="F98" s="113"/>
      <c r="G98" s="27"/>
      <c r="H98" s="27"/>
      <c r="I98" s="27"/>
      <c r="J98" s="27"/>
      <c r="BT98" s="27"/>
      <c r="BU98" s="27"/>
      <c r="BV98" s="27"/>
      <c r="CN98" s="27"/>
    </row>
    <row r="99" spans="1:92">
      <c r="A99" s="18" t="s">
        <v>187</v>
      </c>
      <c r="B99" s="29" t="s">
        <v>518</v>
      </c>
      <c r="C99" s="19">
        <f t="shared" ref="C99:F99" si="25">C100+C101</f>
        <v>0</v>
      </c>
      <c r="D99" s="19">
        <f t="shared" si="25"/>
        <v>0</v>
      </c>
      <c r="E99" s="19">
        <f t="shared" si="25"/>
        <v>0</v>
      </c>
      <c r="F99" s="19">
        <f t="shared" si="25"/>
        <v>0</v>
      </c>
      <c r="G99" s="27"/>
      <c r="H99" s="27"/>
      <c r="I99" s="27"/>
      <c r="J99" s="27"/>
      <c r="BT99" s="27"/>
      <c r="BU99" s="27"/>
      <c r="BV99" s="27"/>
      <c r="CN99" s="27"/>
    </row>
    <row r="100" spans="1:92">
      <c r="A100" s="18" t="s">
        <v>188</v>
      </c>
      <c r="B100" s="28" t="s">
        <v>184</v>
      </c>
      <c r="C100" s="16"/>
      <c r="D100" s="16"/>
      <c r="E100" s="113"/>
      <c r="F100" s="113"/>
      <c r="G100" s="27"/>
      <c r="H100" s="27"/>
      <c r="I100" s="27"/>
      <c r="J100" s="27"/>
      <c r="BT100" s="27"/>
      <c r="BU100" s="27"/>
      <c r="BV100" s="27"/>
      <c r="CN100" s="27"/>
    </row>
    <row r="101" spans="1:92">
      <c r="A101" s="18" t="s">
        <v>189</v>
      </c>
      <c r="B101" s="28" t="s">
        <v>186</v>
      </c>
      <c r="C101" s="16"/>
      <c r="D101" s="16"/>
      <c r="E101" s="113"/>
      <c r="F101" s="113"/>
      <c r="G101" s="27"/>
      <c r="H101" s="27"/>
      <c r="I101" s="27"/>
      <c r="J101" s="27"/>
      <c r="BT101" s="27"/>
      <c r="BU101" s="27"/>
      <c r="BV101" s="27"/>
      <c r="CN101" s="27"/>
    </row>
    <row r="102" spans="1:92" ht="25.5">
      <c r="A102" s="30" t="s">
        <v>190</v>
      </c>
      <c r="B102" s="31" t="s">
        <v>191</v>
      </c>
      <c r="C102" s="19">
        <f t="shared" ref="C102:F102" si="26">C103+C106</f>
        <v>0</v>
      </c>
      <c r="D102" s="19">
        <f t="shared" si="26"/>
        <v>0</v>
      </c>
      <c r="E102" s="19">
        <f t="shared" si="26"/>
        <v>0</v>
      </c>
      <c r="F102" s="19">
        <f t="shared" si="26"/>
        <v>0</v>
      </c>
      <c r="G102" s="27"/>
      <c r="H102" s="27"/>
      <c r="I102" s="27"/>
      <c r="J102" s="27"/>
      <c r="BT102" s="27"/>
      <c r="BU102" s="27"/>
      <c r="BV102" s="27"/>
      <c r="CN102" s="27"/>
    </row>
    <row r="103" spans="1:92" ht="38.25">
      <c r="A103" s="18" t="s">
        <v>192</v>
      </c>
      <c r="B103" s="31" t="s">
        <v>172</v>
      </c>
      <c r="C103" s="19">
        <f t="shared" ref="C103:F103" si="27">C104+C105</f>
        <v>0</v>
      </c>
      <c r="D103" s="19">
        <f t="shared" si="27"/>
        <v>0</v>
      </c>
      <c r="E103" s="19">
        <f t="shared" si="27"/>
        <v>0</v>
      </c>
      <c r="F103" s="19">
        <f t="shared" si="27"/>
        <v>0</v>
      </c>
      <c r="G103" s="27"/>
      <c r="H103" s="27"/>
      <c r="I103" s="27"/>
      <c r="J103" s="27"/>
      <c r="BT103" s="27"/>
      <c r="BU103" s="27"/>
      <c r="BV103" s="27"/>
      <c r="CN103" s="27"/>
    </row>
    <row r="104" spans="1:92">
      <c r="A104" s="18" t="s">
        <v>193</v>
      </c>
      <c r="B104" s="18" t="s">
        <v>194</v>
      </c>
      <c r="C104" s="19"/>
      <c r="D104" s="19"/>
      <c r="E104" s="19"/>
      <c r="F104" s="19"/>
      <c r="G104" s="27"/>
      <c r="H104" s="27"/>
      <c r="I104" s="27"/>
      <c r="J104" s="27"/>
      <c r="BT104" s="27"/>
      <c r="BU104" s="27"/>
      <c r="BV104" s="27"/>
      <c r="CN104" s="27"/>
    </row>
    <row r="105" spans="1:92" ht="26.25" customHeight="1">
      <c r="A105" s="18" t="s">
        <v>195</v>
      </c>
      <c r="B105" s="18" t="s">
        <v>196</v>
      </c>
      <c r="C105" s="19"/>
      <c r="D105" s="19"/>
      <c r="E105" s="19"/>
      <c r="F105" s="19"/>
      <c r="G105" s="27"/>
      <c r="H105" s="27"/>
      <c r="I105" s="27"/>
      <c r="J105" s="27"/>
      <c r="BT105" s="27"/>
      <c r="BU105" s="27"/>
      <c r="BV105" s="27"/>
      <c r="CN105" s="27"/>
    </row>
    <row r="106" spans="1:92">
      <c r="A106" s="34"/>
      <c r="B106" s="32" t="s">
        <v>197</v>
      </c>
      <c r="C106" s="19">
        <f t="shared" ref="C106:F108" si="28">C107</f>
        <v>0</v>
      </c>
      <c r="D106" s="19">
        <f t="shared" si="28"/>
        <v>0</v>
      </c>
      <c r="E106" s="19">
        <f t="shared" si="28"/>
        <v>0</v>
      </c>
      <c r="F106" s="19">
        <f t="shared" si="28"/>
        <v>0</v>
      </c>
      <c r="G106" s="27"/>
      <c r="H106" s="27"/>
      <c r="I106" s="27"/>
      <c r="J106" s="27"/>
      <c r="BT106" s="27"/>
      <c r="BU106" s="27"/>
      <c r="BV106" s="27"/>
      <c r="CN106" s="27"/>
    </row>
    <row r="107" spans="1:92">
      <c r="A107" s="18" t="s">
        <v>198</v>
      </c>
      <c r="B107" s="32" t="s">
        <v>199</v>
      </c>
      <c r="C107" s="19">
        <f t="shared" si="28"/>
        <v>0</v>
      </c>
      <c r="D107" s="19">
        <f t="shared" si="28"/>
        <v>0</v>
      </c>
      <c r="E107" s="19">
        <f t="shared" si="28"/>
        <v>0</v>
      </c>
      <c r="F107" s="19">
        <f t="shared" si="28"/>
        <v>0</v>
      </c>
      <c r="G107" s="27"/>
      <c r="H107" s="27"/>
      <c r="I107" s="27"/>
      <c r="J107" s="27"/>
      <c r="BT107" s="27"/>
      <c r="BU107" s="27"/>
      <c r="BV107" s="27"/>
      <c r="CN107" s="27"/>
    </row>
    <row r="108" spans="1:92" ht="25.5">
      <c r="A108" s="18" t="s">
        <v>200</v>
      </c>
      <c r="B108" s="32" t="s">
        <v>201</v>
      </c>
      <c r="C108" s="19">
        <f t="shared" si="28"/>
        <v>0</v>
      </c>
      <c r="D108" s="19">
        <f t="shared" si="28"/>
        <v>0</v>
      </c>
      <c r="E108" s="19">
        <f t="shared" si="28"/>
        <v>0</v>
      </c>
      <c r="F108" s="19">
        <f t="shared" si="28"/>
        <v>0</v>
      </c>
      <c r="G108" s="27"/>
      <c r="H108" s="27"/>
      <c r="I108" s="27"/>
      <c r="J108" s="27"/>
      <c r="BT108" s="27"/>
      <c r="BU108" s="27"/>
      <c r="BV108" s="27"/>
      <c r="CN108" s="27"/>
    </row>
    <row r="109" spans="1:92">
      <c r="A109" s="18" t="s">
        <v>202</v>
      </c>
      <c r="B109" s="33" t="s">
        <v>203</v>
      </c>
      <c r="C109" s="16"/>
      <c r="D109" s="16"/>
      <c r="E109" s="113"/>
      <c r="F109" s="19"/>
      <c r="CN109" s="27"/>
    </row>
    <row r="110" spans="1:92" ht="12" customHeight="1">
      <c r="A110" s="31" t="s">
        <v>204</v>
      </c>
      <c r="B110" s="31" t="s">
        <v>205</v>
      </c>
      <c r="C110" s="19">
        <f t="shared" ref="C110:F110" si="29">C111</f>
        <v>0</v>
      </c>
      <c r="D110" s="19">
        <f t="shared" si="29"/>
        <v>0</v>
      </c>
      <c r="E110" s="19">
        <f t="shared" si="29"/>
        <v>235922</v>
      </c>
      <c r="F110" s="19">
        <f t="shared" si="29"/>
        <v>742206</v>
      </c>
      <c r="CN110" s="27"/>
    </row>
    <row r="111" spans="1:92" ht="25.5">
      <c r="A111" s="18" t="s">
        <v>206</v>
      </c>
      <c r="B111" s="18" t="s">
        <v>207</v>
      </c>
      <c r="C111" s="16"/>
      <c r="D111" s="16"/>
      <c r="E111" s="113">
        <f>-1063509+874783+80688-398246+742206</f>
        <v>235922</v>
      </c>
      <c r="F111" s="113">
        <v>742206</v>
      </c>
      <c r="CN111" s="27"/>
    </row>
    <row r="112" spans="1:92">
      <c r="CN112" s="27"/>
    </row>
    <row r="113" spans="2:92">
      <c r="CN113" s="27"/>
    </row>
    <row r="114" spans="2:92">
      <c r="B114" s="6" t="s">
        <v>522</v>
      </c>
      <c r="D114" s="27" t="s">
        <v>524</v>
      </c>
      <c r="CN114" s="27"/>
    </row>
    <row r="115" spans="2:92">
      <c r="CN115" s="27"/>
    </row>
    <row r="116" spans="2:92">
      <c r="B116" s="6" t="s">
        <v>521</v>
      </c>
      <c r="D116" s="27" t="s">
        <v>523</v>
      </c>
      <c r="CN116" s="27"/>
    </row>
    <row r="117" spans="2:92">
      <c r="CN117" s="27"/>
    </row>
    <row r="118" spans="2:92">
      <c r="CN118" s="27"/>
    </row>
    <row r="119" spans="2:92">
      <c r="CN119" s="27"/>
    </row>
    <row r="120" spans="2:92">
      <c r="CN120" s="27"/>
    </row>
    <row r="121" spans="2:92">
      <c r="CN121" s="27"/>
    </row>
    <row r="122" spans="2:92">
      <c r="CN122" s="27"/>
    </row>
    <row r="123" spans="2:92">
      <c r="CN123" s="27"/>
    </row>
    <row r="124" spans="2:92">
      <c r="CN124" s="27"/>
    </row>
    <row r="125" spans="2:92">
      <c r="CN125" s="27"/>
    </row>
    <row r="126" spans="2:92">
      <c r="CN126" s="27"/>
    </row>
    <row r="127" spans="2:92">
      <c r="CN127" s="27"/>
    </row>
    <row r="128" spans="2:92">
      <c r="CN128" s="27"/>
    </row>
    <row r="129" spans="92:92">
      <c r="CN129" s="27"/>
    </row>
    <row r="130" spans="92:92">
      <c r="CN130" s="27"/>
    </row>
    <row r="131" spans="92:92">
      <c r="CN131" s="27"/>
    </row>
    <row r="132" spans="92:92">
      <c r="CN132" s="27"/>
    </row>
    <row r="133" spans="92:92">
      <c r="CN133" s="27"/>
    </row>
    <row r="134" spans="92:92">
      <c r="CN134" s="27"/>
    </row>
    <row r="135" spans="92:92">
      <c r="CN135" s="27"/>
    </row>
    <row r="136" spans="92:92">
      <c r="CN136" s="27"/>
    </row>
    <row r="137" spans="92:92">
      <c r="CN137" s="27"/>
    </row>
    <row r="138" spans="92:92">
      <c r="CN138" s="27"/>
    </row>
    <row r="139" spans="92:92">
      <c r="CN139" s="27"/>
    </row>
    <row r="140" spans="92:92">
      <c r="CN140" s="27"/>
    </row>
    <row r="141" spans="92:92">
      <c r="CN141" s="27"/>
    </row>
    <row r="142" spans="92:92">
      <c r="CN142" s="27"/>
    </row>
    <row r="143" spans="92:92">
      <c r="CN143" s="27"/>
    </row>
    <row r="144" spans="92:92">
      <c r="CN144" s="27"/>
    </row>
    <row r="145" spans="92:92">
      <c r="CN145" s="27"/>
    </row>
    <row r="146" spans="92:92">
      <c r="CN146" s="27"/>
    </row>
    <row r="147" spans="92:92">
      <c r="CN147" s="27"/>
    </row>
    <row r="148" spans="92:92">
      <c r="CN148" s="27"/>
    </row>
    <row r="149" spans="92:92">
      <c r="CN149" s="27"/>
    </row>
    <row r="150" spans="92:92">
      <c r="CN150" s="27"/>
    </row>
    <row r="151" spans="92:92">
      <c r="CN151" s="27"/>
    </row>
    <row r="152" spans="92:92">
      <c r="CN152" s="27"/>
    </row>
    <row r="153" spans="92:92">
      <c r="CN153" s="27"/>
    </row>
    <row r="154" spans="92:92">
      <c r="CN154" s="27"/>
    </row>
    <row r="155" spans="92:92">
      <c r="CN155" s="27"/>
    </row>
    <row r="156" spans="92:92">
      <c r="CN156" s="27"/>
    </row>
  </sheetData>
  <protectedRanges>
    <protectedRange sqref="E82:F83 C24:F24 C56:F56 E63:F63 E87:F89 C58:F58 C66:F67 C81:F81 E94:F94 E97:F98 E100:F101 E17:F23 E55:F55 E25:F27 E30:F51 E71:F80" name="Zonă1" securityDescriptor="O:WDG:WDD:(A;;CC;;;AN)(A;;CC;;;AU)(A;;CC;;;WD)"/>
  </protectedRanges>
  <mergeCells count="32">
    <mergeCell ref="EX4:FB4"/>
    <mergeCell ref="FC4:FG4"/>
    <mergeCell ref="DT4:DX4"/>
    <mergeCell ref="DY4:EC4"/>
    <mergeCell ref="ED4:EH4"/>
    <mergeCell ref="EI4:EM4"/>
    <mergeCell ref="EN4:ER4"/>
    <mergeCell ref="ES4:EW4"/>
    <mergeCell ref="DO4:DS4"/>
    <mergeCell ref="BL4:BP4"/>
    <mergeCell ref="BQ4:BU4"/>
    <mergeCell ref="BV4:BZ4"/>
    <mergeCell ref="CA4:CE4"/>
    <mergeCell ref="CF4:CJ4"/>
    <mergeCell ref="CK4:CO4"/>
    <mergeCell ref="CP4:CT4"/>
    <mergeCell ref="CU4:CY4"/>
    <mergeCell ref="CZ4:DD4"/>
    <mergeCell ref="DE4:DI4"/>
    <mergeCell ref="DJ4:DN4"/>
    <mergeCell ref="BG4:BK4"/>
    <mergeCell ref="G4:H4"/>
    <mergeCell ref="I4:M4"/>
    <mergeCell ref="N4:R4"/>
    <mergeCell ref="S4:W4"/>
    <mergeCell ref="X4:AB4"/>
    <mergeCell ref="AC4:AG4"/>
    <mergeCell ref="AH4:AL4"/>
    <mergeCell ref="AM4:AQ4"/>
    <mergeCell ref="AR4:AV4"/>
    <mergeCell ref="AW4:BA4"/>
    <mergeCell ref="BB4:BF4"/>
  </mergeCells>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4"/>
  <sheetViews>
    <sheetView tabSelected="1" workbookViewId="0">
      <pane xSplit="3" ySplit="6" topLeftCell="D7" activePane="bottomRight" state="frozen"/>
      <selection activeCell="G7" sqref="G7:H290"/>
      <selection pane="topRight" activeCell="G7" sqref="G7:H290"/>
      <selection pane="bottomLeft" activeCell="G7" sqref="G7:H290"/>
      <selection pane="bottomRight" activeCell="O10" sqref="O10"/>
    </sheetView>
  </sheetViews>
  <sheetFormatPr defaultRowHeight="15"/>
  <cols>
    <col min="1" max="1" width="14.42578125" style="36" customWidth="1"/>
    <col min="2" max="2" width="68.42578125" style="38" customWidth="1"/>
    <col min="3" max="3" width="7" style="38" hidden="1" customWidth="1"/>
    <col min="4" max="4" width="16.5703125" style="38" customWidth="1"/>
    <col min="5" max="5" width="15.42578125" style="38" customWidth="1"/>
    <col min="6" max="6" width="16.140625" style="38" customWidth="1"/>
    <col min="7" max="7" width="15.42578125" style="38" bestFit="1" customWidth="1"/>
    <col min="8" max="8" width="14.5703125" style="38" bestFit="1" customWidth="1"/>
    <col min="9" max="9" width="10.42578125" style="39" bestFit="1" customWidth="1"/>
    <col min="10" max="10" width="11.5703125" style="39" bestFit="1" customWidth="1"/>
    <col min="11" max="16384" width="9.140625" style="39"/>
  </cols>
  <sheetData>
    <row r="1" spans="1:11" ht="20.25">
      <c r="B1" s="103" t="s">
        <v>525</v>
      </c>
      <c r="C1" s="37"/>
    </row>
    <row r="2" spans="1:11">
      <c r="B2" s="37" t="s">
        <v>520</v>
      </c>
      <c r="C2" s="37"/>
    </row>
    <row r="3" spans="1:11">
      <c r="B3" s="37"/>
      <c r="C3" s="37"/>
      <c r="D3" s="40"/>
    </row>
    <row r="4" spans="1:11">
      <c r="D4" s="41"/>
      <c r="E4" s="41"/>
      <c r="F4" s="42"/>
      <c r="G4" s="43"/>
      <c r="H4" s="44" t="s">
        <v>0</v>
      </c>
    </row>
    <row r="5" spans="1:11" s="48" customFormat="1" ht="75">
      <c r="A5" s="45"/>
      <c r="B5" s="46" t="s">
        <v>2</v>
      </c>
      <c r="C5" s="46"/>
      <c r="D5" s="46" t="s">
        <v>208</v>
      </c>
      <c r="E5" s="47" t="s">
        <v>209</v>
      </c>
      <c r="F5" s="47" t="s">
        <v>210</v>
      </c>
      <c r="G5" s="46" t="s">
        <v>211</v>
      </c>
      <c r="H5" s="46" t="s">
        <v>212</v>
      </c>
    </row>
    <row r="6" spans="1:11">
      <c r="A6" s="49"/>
      <c r="B6" s="50" t="s">
        <v>213</v>
      </c>
      <c r="C6" s="50"/>
      <c r="D6" s="51"/>
      <c r="E6" s="51"/>
      <c r="F6" s="51"/>
      <c r="G6" s="51"/>
      <c r="H6" s="51"/>
    </row>
    <row r="7" spans="1:11" s="56" customFormat="1" ht="16.5" customHeight="1">
      <c r="A7" s="52" t="s">
        <v>214</v>
      </c>
      <c r="B7" s="53" t="s">
        <v>215</v>
      </c>
      <c r="C7" s="105">
        <f t="shared" ref="C7:H7" si="0">+C8+C16</f>
        <v>0</v>
      </c>
      <c r="D7" s="105">
        <f t="shared" si="0"/>
        <v>688257030</v>
      </c>
      <c r="E7" s="105">
        <f t="shared" si="0"/>
        <v>677846930</v>
      </c>
      <c r="F7" s="105">
        <f t="shared" si="0"/>
        <v>555673280</v>
      </c>
      <c r="G7" s="105">
        <f t="shared" si="0"/>
        <v>444840719.18000001</v>
      </c>
      <c r="H7" s="105">
        <f t="shared" si="0"/>
        <v>84745276.050000012</v>
      </c>
      <c r="I7" s="55"/>
      <c r="J7" s="55"/>
      <c r="K7" s="55"/>
    </row>
    <row r="8" spans="1:11" s="56" customFormat="1">
      <c r="A8" s="52" t="s">
        <v>216</v>
      </c>
      <c r="B8" s="57" t="s">
        <v>217</v>
      </c>
      <c r="C8" s="105">
        <f>+C9+C10+C13+C11+C12+C15+C250+C14</f>
        <v>0</v>
      </c>
      <c r="D8" s="105">
        <f t="shared" ref="D8:H8" si="1">+D9+D10+D13+D11+D12+D15+D250+D14</f>
        <v>686787030</v>
      </c>
      <c r="E8" s="105">
        <f t="shared" si="1"/>
        <v>676376930</v>
      </c>
      <c r="F8" s="105">
        <f t="shared" si="1"/>
        <v>554933280</v>
      </c>
      <c r="G8" s="105">
        <f t="shared" si="1"/>
        <v>444741089.13</v>
      </c>
      <c r="H8" s="105">
        <f t="shared" si="1"/>
        <v>84745276.050000012</v>
      </c>
      <c r="I8" s="55"/>
      <c r="J8" s="55"/>
      <c r="K8" s="55"/>
    </row>
    <row r="9" spans="1:11" s="56" customFormat="1">
      <c r="A9" s="52" t="s">
        <v>218</v>
      </c>
      <c r="B9" s="57" t="s">
        <v>219</v>
      </c>
      <c r="C9" s="105">
        <f t="shared" ref="C9:H9" si="2">+C23</f>
        <v>0</v>
      </c>
      <c r="D9" s="105">
        <f t="shared" si="2"/>
        <v>6082000</v>
      </c>
      <c r="E9" s="105">
        <f t="shared" si="2"/>
        <v>6082000</v>
      </c>
      <c r="F9" s="105">
        <f t="shared" si="2"/>
        <v>3080880</v>
      </c>
      <c r="G9" s="105">
        <f t="shared" si="2"/>
        <v>2525846</v>
      </c>
      <c r="H9" s="105">
        <f t="shared" si="2"/>
        <v>499952</v>
      </c>
      <c r="I9" s="55"/>
      <c r="J9" s="55"/>
      <c r="K9" s="55"/>
    </row>
    <row r="10" spans="1:11" s="56" customFormat="1" ht="16.5" customHeight="1">
      <c r="A10" s="52" t="s">
        <v>220</v>
      </c>
      <c r="B10" s="57" t="s">
        <v>221</v>
      </c>
      <c r="C10" s="105">
        <f>+C43</f>
        <v>0</v>
      </c>
      <c r="D10" s="105">
        <f t="shared" ref="D10:H10" si="3">+D43</f>
        <v>375903410</v>
      </c>
      <c r="E10" s="105">
        <f t="shared" si="3"/>
        <v>365493310</v>
      </c>
      <c r="F10" s="105">
        <f t="shared" si="3"/>
        <v>360309420</v>
      </c>
      <c r="G10" s="105">
        <f t="shared" si="3"/>
        <v>278289003.17000002</v>
      </c>
      <c r="H10" s="105">
        <f t="shared" si="3"/>
        <v>52470122.410000011</v>
      </c>
      <c r="I10" s="55"/>
      <c r="J10" s="55"/>
      <c r="K10" s="55"/>
    </row>
    <row r="11" spans="1:11" s="56" customFormat="1">
      <c r="A11" s="52" t="s">
        <v>222</v>
      </c>
      <c r="B11" s="57" t="s">
        <v>223</v>
      </c>
      <c r="C11" s="105">
        <f>+C71</f>
        <v>0</v>
      </c>
      <c r="D11" s="105">
        <f t="shared" ref="D11:H11" si="4">+D71</f>
        <v>0</v>
      </c>
      <c r="E11" s="105">
        <f t="shared" si="4"/>
        <v>0</v>
      </c>
      <c r="F11" s="105">
        <f t="shared" si="4"/>
        <v>0</v>
      </c>
      <c r="G11" s="105">
        <f t="shared" si="4"/>
        <v>0</v>
      </c>
      <c r="H11" s="105">
        <f t="shared" si="4"/>
        <v>0</v>
      </c>
      <c r="I11" s="55"/>
      <c r="J11" s="55"/>
      <c r="K11" s="55"/>
    </row>
    <row r="12" spans="1:11" s="56" customFormat="1" ht="30">
      <c r="A12" s="52" t="s">
        <v>224</v>
      </c>
      <c r="B12" s="57" t="s">
        <v>225</v>
      </c>
      <c r="C12" s="105">
        <f>C251</f>
        <v>0</v>
      </c>
      <c r="D12" s="105">
        <f t="shared" ref="D12:H12" si="5">D251</f>
        <v>270390620</v>
      </c>
      <c r="E12" s="105">
        <f t="shared" si="5"/>
        <v>270390620</v>
      </c>
      <c r="F12" s="105">
        <f t="shared" si="5"/>
        <v>164475280</v>
      </c>
      <c r="G12" s="105">
        <f t="shared" si="5"/>
        <v>137386950</v>
      </c>
      <c r="H12" s="105">
        <f t="shared" si="5"/>
        <v>27530396</v>
      </c>
      <c r="I12" s="55"/>
      <c r="J12" s="55"/>
      <c r="K12" s="55"/>
    </row>
    <row r="13" spans="1:11" s="56" customFormat="1" ht="16.5" customHeight="1">
      <c r="A13" s="52" t="s">
        <v>226</v>
      </c>
      <c r="B13" s="57" t="s">
        <v>227</v>
      </c>
      <c r="C13" s="105">
        <f>C264</f>
        <v>0</v>
      </c>
      <c r="D13" s="105">
        <f t="shared" ref="D13:H13" si="6">D264</f>
        <v>34402000</v>
      </c>
      <c r="E13" s="105">
        <f t="shared" si="6"/>
        <v>34402000</v>
      </c>
      <c r="F13" s="105">
        <f t="shared" si="6"/>
        <v>27063000</v>
      </c>
      <c r="G13" s="105">
        <f t="shared" si="6"/>
        <v>26793604</v>
      </c>
      <c r="H13" s="105">
        <f t="shared" si="6"/>
        <v>4253171</v>
      </c>
      <c r="I13" s="55"/>
      <c r="J13" s="55"/>
      <c r="K13" s="55"/>
    </row>
    <row r="14" spans="1:11" s="56" customFormat="1" ht="30">
      <c r="A14" s="52" t="s">
        <v>228</v>
      </c>
      <c r="B14" s="57" t="s">
        <v>229</v>
      </c>
      <c r="C14" s="105">
        <f>C271</f>
        <v>0</v>
      </c>
      <c r="D14" s="105">
        <f t="shared" ref="D14:H14" si="7">D271</f>
        <v>0</v>
      </c>
      <c r="E14" s="105">
        <f t="shared" si="7"/>
        <v>0</v>
      </c>
      <c r="F14" s="105">
        <f t="shared" si="7"/>
        <v>0</v>
      </c>
      <c r="G14" s="105">
        <f t="shared" si="7"/>
        <v>0</v>
      </c>
      <c r="H14" s="105">
        <f t="shared" si="7"/>
        <v>0</v>
      </c>
      <c r="I14" s="55"/>
      <c r="J14" s="55"/>
      <c r="K14" s="55"/>
    </row>
    <row r="15" spans="1:11" s="56" customFormat="1" ht="16.5" customHeight="1">
      <c r="A15" s="52" t="s">
        <v>230</v>
      </c>
      <c r="B15" s="57" t="s">
        <v>231</v>
      </c>
      <c r="C15" s="105">
        <f>C74</f>
        <v>0</v>
      </c>
      <c r="D15" s="105">
        <f t="shared" ref="D15:H15" si="8">D74</f>
        <v>9000</v>
      </c>
      <c r="E15" s="105">
        <f t="shared" si="8"/>
        <v>9000</v>
      </c>
      <c r="F15" s="105">
        <f t="shared" si="8"/>
        <v>4700</v>
      </c>
      <c r="G15" s="105">
        <f t="shared" si="8"/>
        <v>2961</v>
      </c>
      <c r="H15" s="105">
        <f t="shared" si="8"/>
        <v>720</v>
      </c>
      <c r="I15" s="55"/>
      <c r="J15" s="55"/>
      <c r="K15" s="55"/>
    </row>
    <row r="16" spans="1:11" s="56" customFormat="1" ht="16.5" customHeight="1">
      <c r="A16" s="52" t="s">
        <v>232</v>
      </c>
      <c r="B16" s="57" t="s">
        <v>233</v>
      </c>
      <c r="C16" s="105">
        <f>C77</f>
        <v>0</v>
      </c>
      <c r="D16" s="105">
        <f t="shared" ref="D16:H16" si="9">D77</f>
        <v>1470000</v>
      </c>
      <c r="E16" s="105">
        <f t="shared" si="9"/>
        <v>1470000</v>
      </c>
      <c r="F16" s="105">
        <f t="shared" si="9"/>
        <v>740000</v>
      </c>
      <c r="G16" s="105">
        <f t="shared" si="9"/>
        <v>99630.05</v>
      </c>
      <c r="H16" s="105">
        <f t="shared" si="9"/>
        <v>0</v>
      </c>
      <c r="I16" s="55"/>
      <c r="J16" s="55"/>
      <c r="K16" s="55"/>
    </row>
    <row r="17" spans="1:247" s="56" customFormat="1">
      <c r="A17" s="52" t="s">
        <v>234</v>
      </c>
      <c r="B17" s="57" t="s">
        <v>235</v>
      </c>
      <c r="C17" s="105">
        <f>C78</f>
        <v>0</v>
      </c>
      <c r="D17" s="105">
        <f t="shared" ref="D17:H17" si="10">D78</f>
        <v>1470000</v>
      </c>
      <c r="E17" s="105">
        <f t="shared" si="10"/>
        <v>1470000</v>
      </c>
      <c r="F17" s="105">
        <f t="shared" si="10"/>
        <v>740000</v>
      </c>
      <c r="G17" s="105">
        <f t="shared" si="10"/>
        <v>99630.05</v>
      </c>
      <c r="H17" s="105">
        <f t="shared" si="10"/>
        <v>0</v>
      </c>
      <c r="I17" s="55"/>
      <c r="J17" s="55"/>
      <c r="K17" s="55"/>
    </row>
    <row r="18" spans="1:247" s="56" customFormat="1" ht="30">
      <c r="A18" s="52" t="s">
        <v>236</v>
      </c>
      <c r="B18" s="57" t="s">
        <v>237</v>
      </c>
      <c r="C18" s="105">
        <f>C250+C270</f>
        <v>0</v>
      </c>
      <c r="D18" s="105">
        <f t="shared" ref="D18:H18" si="11">D250+D270</f>
        <v>0</v>
      </c>
      <c r="E18" s="105">
        <f t="shared" si="11"/>
        <v>0</v>
      </c>
      <c r="F18" s="105">
        <f t="shared" si="11"/>
        <v>0</v>
      </c>
      <c r="G18" s="105">
        <f t="shared" si="11"/>
        <v>-257275.04</v>
      </c>
      <c r="H18" s="105">
        <f t="shared" si="11"/>
        <v>-9085.36</v>
      </c>
      <c r="I18" s="55"/>
      <c r="J18" s="55"/>
      <c r="K18" s="55"/>
    </row>
    <row r="19" spans="1:247" s="56" customFormat="1" ht="16.5" customHeight="1">
      <c r="A19" s="52" t="s">
        <v>238</v>
      </c>
      <c r="B19" s="57" t="s">
        <v>239</v>
      </c>
      <c r="C19" s="105">
        <f t="shared" ref="C19:H19" si="12">+C20+C16</f>
        <v>0</v>
      </c>
      <c r="D19" s="105">
        <f t="shared" si="12"/>
        <v>688257030</v>
      </c>
      <c r="E19" s="105">
        <f t="shared" si="12"/>
        <v>677846930</v>
      </c>
      <c r="F19" s="105">
        <f t="shared" si="12"/>
        <v>555673280</v>
      </c>
      <c r="G19" s="105">
        <f t="shared" si="12"/>
        <v>444840719.18000001</v>
      </c>
      <c r="H19" s="105">
        <f t="shared" si="12"/>
        <v>84745276.050000012</v>
      </c>
      <c r="I19" s="55"/>
      <c r="J19" s="55"/>
      <c r="K19" s="55"/>
    </row>
    <row r="20" spans="1:247" s="56" customFormat="1">
      <c r="A20" s="52" t="s">
        <v>240</v>
      </c>
      <c r="B20" s="57" t="s">
        <v>217</v>
      </c>
      <c r="C20" s="105">
        <f>C9+C10+C11+C12+C13+C15+C250+C14</f>
        <v>0</v>
      </c>
      <c r="D20" s="105">
        <f t="shared" ref="D20:H20" si="13">D9+D10+D11+D12+D13+D15+D250+D14</f>
        <v>686787030</v>
      </c>
      <c r="E20" s="105">
        <f t="shared" si="13"/>
        <v>676376930</v>
      </c>
      <c r="F20" s="105">
        <f t="shared" si="13"/>
        <v>554933280</v>
      </c>
      <c r="G20" s="105">
        <f t="shared" si="13"/>
        <v>444741089.13</v>
      </c>
      <c r="H20" s="105">
        <f t="shared" si="13"/>
        <v>84745276.050000012</v>
      </c>
      <c r="I20" s="55"/>
      <c r="J20" s="55"/>
      <c r="K20" s="55"/>
    </row>
    <row r="21" spans="1:247" s="56" customFormat="1" ht="16.5" customHeight="1">
      <c r="A21" s="58" t="s">
        <v>241</v>
      </c>
      <c r="B21" s="57" t="s">
        <v>242</v>
      </c>
      <c r="C21" s="105">
        <f>+C22+C77+C250</f>
        <v>0</v>
      </c>
      <c r="D21" s="105">
        <f t="shared" ref="D21:H21" si="14">+D22+D77+D250</f>
        <v>653855030</v>
      </c>
      <c r="E21" s="105">
        <f t="shared" si="14"/>
        <v>643444930</v>
      </c>
      <c r="F21" s="105">
        <f t="shared" si="14"/>
        <v>528610280</v>
      </c>
      <c r="G21" s="105">
        <f t="shared" si="14"/>
        <v>418047115.18000001</v>
      </c>
      <c r="H21" s="105">
        <f t="shared" si="14"/>
        <v>80492105.050000012</v>
      </c>
      <c r="I21" s="55"/>
      <c r="J21" s="55"/>
      <c r="K21" s="55"/>
    </row>
    <row r="22" spans="1:247" s="56" customFormat="1" ht="16.5" customHeight="1">
      <c r="A22" s="52" t="s">
        <v>243</v>
      </c>
      <c r="B22" s="57" t="s">
        <v>217</v>
      </c>
      <c r="C22" s="105">
        <f>+C23+C43+C71+C251+C74+C271</f>
        <v>0</v>
      </c>
      <c r="D22" s="105">
        <f t="shared" ref="D22:H22" si="15">+D23+D43+D71+D251+D74+D271</f>
        <v>652385030</v>
      </c>
      <c r="E22" s="105">
        <f t="shared" si="15"/>
        <v>641974930</v>
      </c>
      <c r="F22" s="105">
        <f t="shared" si="15"/>
        <v>527870280</v>
      </c>
      <c r="G22" s="105">
        <f t="shared" si="15"/>
        <v>418204760.17000002</v>
      </c>
      <c r="H22" s="105">
        <f t="shared" si="15"/>
        <v>80501190.410000011</v>
      </c>
      <c r="I22" s="55"/>
      <c r="J22" s="55"/>
      <c r="K22" s="55"/>
    </row>
    <row r="23" spans="1:247" s="56" customFormat="1">
      <c r="A23" s="52" t="s">
        <v>244</v>
      </c>
      <c r="B23" s="57" t="s">
        <v>219</v>
      </c>
      <c r="C23" s="105">
        <f t="shared" ref="C23:H23" si="16">+C24+C36+C34</f>
        <v>0</v>
      </c>
      <c r="D23" s="105">
        <f t="shared" si="16"/>
        <v>6082000</v>
      </c>
      <c r="E23" s="105">
        <f t="shared" si="16"/>
        <v>6082000</v>
      </c>
      <c r="F23" s="105">
        <f t="shared" si="16"/>
        <v>3080880</v>
      </c>
      <c r="G23" s="105">
        <f t="shared" si="16"/>
        <v>2525846</v>
      </c>
      <c r="H23" s="105">
        <f t="shared" si="16"/>
        <v>499952</v>
      </c>
      <c r="I23" s="55"/>
      <c r="J23" s="55"/>
      <c r="K23" s="55"/>
    </row>
    <row r="24" spans="1:247" s="56" customFormat="1" ht="16.5" customHeight="1">
      <c r="A24" s="52" t="s">
        <v>245</v>
      </c>
      <c r="B24" s="57" t="s">
        <v>246</v>
      </c>
      <c r="C24" s="105">
        <f t="shared" ref="C24:H24" si="17">C25+C28+C29+C30+C32+C26+C27+C31</f>
        <v>0</v>
      </c>
      <c r="D24" s="105">
        <f t="shared" si="17"/>
        <v>5866000</v>
      </c>
      <c r="E24" s="105">
        <f t="shared" si="17"/>
        <v>5866000</v>
      </c>
      <c r="F24" s="105">
        <f t="shared" si="17"/>
        <v>2930960</v>
      </c>
      <c r="G24" s="105">
        <f t="shared" si="17"/>
        <v>2390754</v>
      </c>
      <c r="H24" s="105">
        <f t="shared" si="17"/>
        <v>489027</v>
      </c>
      <c r="I24" s="55"/>
      <c r="J24" s="55"/>
      <c r="K24" s="55"/>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row>
    <row r="25" spans="1:247" s="56" customFormat="1" ht="16.5" customHeight="1">
      <c r="A25" s="59" t="s">
        <v>247</v>
      </c>
      <c r="B25" s="60" t="s">
        <v>248</v>
      </c>
      <c r="C25" s="106"/>
      <c r="D25" s="54">
        <v>4814000</v>
      </c>
      <c r="E25" s="54">
        <v>4814000</v>
      </c>
      <c r="F25" s="54">
        <v>2389260</v>
      </c>
      <c r="G25" s="61">
        <f>765976+393455+388544+398025</f>
        <v>1946000</v>
      </c>
      <c r="H25" s="83">
        <v>398025</v>
      </c>
      <c r="I25" s="55"/>
      <c r="J25" s="55"/>
      <c r="K25" s="55"/>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row>
    <row r="26" spans="1:247" s="56" customFormat="1">
      <c r="A26" s="59" t="s">
        <v>249</v>
      </c>
      <c r="B26" s="60" t="s">
        <v>250</v>
      </c>
      <c r="C26" s="106"/>
      <c r="D26" s="54">
        <v>631000</v>
      </c>
      <c r="E26" s="54">
        <v>631000</v>
      </c>
      <c r="F26" s="54">
        <v>330000</v>
      </c>
      <c r="G26" s="61">
        <f>108345+54156+53576+53730</f>
        <v>269807</v>
      </c>
      <c r="H26" s="83">
        <v>53730</v>
      </c>
      <c r="I26" s="55"/>
      <c r="J26" s="55"/>
      <c r="K26" s="55"/>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row>
    <row r="27" spans="1:247" s="56" customFormat="1">
      <c r="A27" s="59" t="s">
        <v>251</v>
      </c>
      <c r="B27" s="60" t="s">
        <v>252</v>
      </c>
      <c r="C27" s="106"/>
      <c r="D27" s="54">
        <v>25000</v>
      </c>
      <c r="E27" s="54">
        <v>25000</v>
      </c>
      <c r="F27" s="54">
        <v>14200</v>
      </c>
      <c r="G27" s="61">
        <f>4515+2412+2275+2127</f>
        <v>11329</v>
      </c>
      <c r="H27" s="83">
        <v>2127</v>
      </c>
      <c r="I27" s="55"/>
      <c r="J27" s="55"/>
      <c r="K27" s="55"/>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row>
    <row r="28" spans="1:247" s="56" customFormat="1" ht="16.5" customHeight="1">
      <c r="A28" s="59" t="s">
        <v>253</v>
      </c>
      <c r="B28" s="62" t="s">
        <v>254</v>
      </c>
      <c r="C28" s="106"/>
      <c r="D28" s="54">
        <v>11000</v>
      </c>
      <c r="E28" s="54">
        <v>11000</v>
      </c>
      <c r="F28" s="54">
        <v>6500</v>
      </c>
      <c r="G28" s="61">
        <f>1628+1040+888+1184</f>
        <v>4740</v>
      </c>
      <c r="H28" s="83">
        <v>1184</v>
      </c>
      <c r="I28" s="55"/>
      <c r="J28" s="55"/>
      <c r="K28" s="55"/>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row>
    <row r="29" spans="1:247" s="56" customFormat="1" ht="16.5" customHeight="1">
      <c r="A29" s="59" t="s">
        <v>255</v>
      </c>
      <c r="B29" s="62" t="s">
        <v>256</v>
      </c>
      <c r="C29" s="106"/>
      <c r="D29" s="54">
        <v>2000</v>
      </c>
      <c r="E29" s="54">
        <v>2000</v>
      </c>
      <c r="F29" s="54">
        <v>1500</v>
      </c>
      <c r="G29" s="61">
        <f>270+560+270</f>
        <v>1100</v>
      </c>
      <c r="H29" s="61">
        <v>270</v>
      </c>
      <c r="I29" s="55"/>
      <c r="J29" s="55"/>
      <c r="K29" s="55"/>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row>
    <row r="30" spans="1:247" ht="16.5" customHeight="1">
      <c r="A30" s="59" t="s">
        <v>257</v>
      </c>
      <c r="B30" s="62" t="s">
        <v>258</v>
      </c>
      <c r="C30" s="106"/>
      <c r="D30" s="54"/>
      <c r="E30" s="54"/>
      <c r="F30" s="54"/>
      <c r="G30" s="61"/>
      <c r="H30" s="83"/>
      <c r="I30" s="55"/>
      <c r="J30" s="55"/>
      <c r="K30" s="55"/>
    </row>
    <row r="31" spans="1:247" ht="16.5" customHeight="1">
      <c r="A31" s="59" t="s">
        <v>259</v>
      </c>
      <c r="B31" s="62" t="s">
        <v>260</v>
      </c>
      <c r="C31" s="106"/>
      <c r="D31" s="54">
        <v>203000</v>
      </c>
      <c r="E31" s="54">
        <v>203000</v>
      </c>
      <c r="F31" s="54">
        <v>108000</v>
      </c>
      <c r="G31" s="61">
        <f>34758+17384+17187+17272</f>
        <v>86601</v>
      </c>
      <c r="H31" s="83">
        <v>17272</v>
      </c>
      <c r="I31" s="55"/>
      <c r="J31" s="55"/>
      <c r="K31" s="55"/>
    </row>
    <row r="32" spans="1:247" ht="16.5" customHeight="1">
      <c r="A32" s="59" t="s">
        <v>261</v>
      </c>
      <c r="B32" s="62" t="s">
        <v>262</v>
      </c>
      <c r="C32" s="106"/>
      <c r="D32" s="54">
        <v>180000</v>
      </c>
      <c r="E32" s="54">
        <v>180000</v>
      </c>
      <c r="F32" s="54">
        <v>81500</v>
      </c>
      <c r="G32" s="61">
        <f>22392+13156+19210+16419</f>
        <v>71177</v>
      </c>
      <c r="H32" s="83">
        <v>16419</v>
      </c>
      <c r="I32" s="55"/>
      <c r="J32" s="55"/>
      <c r="K32" s="55"/>
    </row>
    <row r="33" spans="1:247" ht="16.5" customHeight="1">
      <c r="A33" s="59"/>
      <c r="B33" s="62" t="s">
        <v>263</v>
      </c>
      <c r="C33" s="106"/>
      <c r="D33" s="54"/>
      <c r="E33" s="54"/>
      <c r="F33" s="54"/>
      <c r="G33" s="61"/>
      <c r="H33" s="83"/>
      <c r="I33" s="55"/>
      <c r="J33" s="55"/>
      <c r="K33" s="55"/>
    </row>
    <row r="34" spans="1:247" ht="16.5" customHeight="1">
      <c r="A34" s="59" t="s">
        <v>264</v>
      </c>
      <c r="B34" s="57" t="s">
        <v>265</v>
      </c>
      <c r="C34" s="106">
        <f t="shared" ref="C34:H34" si="18">C35</f>
        <v>0</v>
      </c>
      <c r="D34" s="106">
        <f t="shared" si="18"/>
        <v>84000</v>
      </c>
      <c r="E34" s="106">
        <f t="shared" si="18"/>
        <v>84000</v>
      </c>
      <c r="F34" s="106">
        <f t="shared" si="18"/>
        <v>84000</v>
      </c>
      <c r="G34" s="106">
        <f t="shared" si="18"/>
        <v>81200</v>
      </c>
      <c r="H34" s="106">
        <f t="shared" si="18"/>
        <v>0</v>
      </c>
      <c r="I34" s="55"/>
      <c r="J34" s="55"/>
      <c r="K34" s="55"/>
    </row>
    <row r="35" spans="1:247" ht="16.5" customHeight="1">
      <c r="A35" s="59" t="s">
        <v>266</v>
      </c>
      <c r="B35" s="62" t="s">
        <v>267</v>
      </c>
      <c r="C35" s="106"/>
      <c r="D35" s="54">
        <v>84000</v>
      </c>
      <c r="E35" s="54">
        <v>84000</v>
      </c>
      <c r="F35" s="54">
        <v>84000</v>
      </c>
      <c r="G35" s="61">
        <v>81200</v>
      </c>
      <c r="H35" s="61">
        <v>0</v>
      </c>
      <c r="I35" s="55"/>
      <c r="J35" s="55"/>
      <c r="K35" s="55"/>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row>
    <row r="36" spans="1:247" ht="16.5" customHeight="1">
      <c r="A36" s="52" t="s">
        <v>268</v>
      </c>
      <c r="B36" s="57" t="s">
        <v>269</v>
      </c>
      <c r="C36" s="105">
        <f>+C37+C38+C39+C40+C41+C42</f>
        <v>0</v>
      </c>
      <c r="D36" s="105">
        <f t="shared" ref="D36:H36" si="19">+D37+D38+D39+D40+D41+D42</f>
        <v>132000</v>
      </c>
      <c r="E36" s="105">
        <f t="shared" si="19"/>
        <v>132000</v>
      </c>
      <c r="F36" s="105">
        <f t="shared" ref="F36" si="20">+F37+F38+F39+F40+F41+F42</f>
        <v>65920</v>
      </c>
      <c r="G36" s="105">
        <f t="shared" si="19"/>
        <v>53892</v>
      </c>
      <c r="H36" s="105">
        <f t="shared" si="19"/>
        <v>10925</v>
      </c>
      <c r="I36" s="55"/>
      <c r="J36" s="55"/>
      <c r="K36" s="55"/>
      <c r="L36" s="56"/>
    </row>
    <row r="37" spans="1:247" ht="16.5" customHeight="1">
      <c r="A37" s="59" t="s">
        <v>270</v>
      </c>
      <c r="B37" s="62" t="s">
        <v>271</v>
      </c>
      <c r="C37" s="106"/>
      <c r="D37" s="54"/>
      <c r="E37" s="54"/>
      <c r="F37" s="54"/>
      <c r="G37" s="61"/>
      <c r="H37" s="83"/>
      <c r="I37" s="55"/>
      <c r="J37" s="55"/>
      <c r="K37" s="55"/>
    </row>
    <row r="38" spans="1:247" ht="16.5" customHeight="1">
      <c r="A38" s="59" t="s">
        <v>272</v>
      </c>
      <c r="B38" s="62" t="s">
        <v>273</v>
      </c>
      <c r="C38" s="106"/>
      <c r="D38" s="54"/>
      <c r="E38" s="54"/>
      <c r="F38" s="54"/>
      <c r="G38" s="61"/>
      <c r="H38" s="83"/>
      <c r="I38" s="55"/>
      <c r="J38" s="55"/>
      <c r="K38" s="55"/>
    </row>
    <row r="39" spans="1:247" s="56" customFormat="1" ht="16.5" customHeight="1">
      <c r="A39" s="59" t="s">
        <v>274</v>
      </c>
      <c r="B39" s="62" t="s">
        <v>275</v>
      </c>
      <c r="C39" s="106"/>
      <c r="D39" s="54"/>
      <c r="E39" s="54"/>
      <c r="F39" s="54"/>
      <c r="G39" s="61"/>
      <c r="H39" s="83"/>
      <c r="I39" s="55"/>
      <c r="J39" s="55"/>
      <c r="K39" s="55"/>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row>
    <row r="40" spans="1:247" ht="16.5" customHeight="1">
      <c r="A40" s="59" t="s">
        <v>276</v>
      </c>
      <c r="B40" s="63" t="s">
        <v>277</v>
      </c>
      <c r="C40" s="106"/>
      <c r="D40" s="54"/>
      <c r="E40" s="54"/>
      <c r="F40" s="54"/>
      <c r="G40" s="61"/>
      <c r="H40" s="83"/>
      <c r="I40" s="55"/>
      <c r="J40" s="55"/>
      <c r="K40" s="55"/>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row>
    <row r="41" spans="1:247" ht="16.5" customHeight="1">
      <c r="A41" s="59" t="s">
        <v>278</v>
      </c>
      <c r="B41" s="63" t="s">
        <v>42</v>
      </c>
      <c r="C41" s="106"/>
      <c r="D41" s="54"/>
      <c r="E41" s="54"/>
      <c r="F41" s="54"/>
      <c r="G41" s="61"/>
      <c r="H41" s="83"/>
      <c r="I41" s="55"/>
      <c r="J41" s="55"/>
      <c r="K41" s="55"/>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row>
    <row r="42" spans="1:247" ht="16.5" customHeight="1">
      <c r="A42" s="59" t="s">
        <v>279</v>
      </c>
      <c r="B42" s="63" t="s">
        <v>280</v>
      </c>
      <c r="C42" s="106"/>
      <c r="D42" s="54">
        <v>132000</v>
      </c>
      <c r="E42" s="54">
        <v>132000</v>
      </c>
      <c r="F42" s="54">
        <v>65920</v>
      </c>
      <c r="G42" s="61">
        <f>21236+10733+10998+10925</f>
        <v>53892</v>
      </c>
      <c r="H42" s="83">
        <v>10925</v>
      </c>
      <c r="I42" s="55"/>
      <c r="J42" s="55"/>
      <c r="K42" s="55"/>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row>
    <row r="43" spans="1:247" ht="16.5" customHeight="1">
      <c r="A43" s="52" t="s">
        <v>281</v>
      </c>
      <c r="B43" s="57" t="s">
        <v>221</v>
      </c>
      <c r="C43" s="105">
        <f t="shared" ref="C43:H43" si="21">+C44+C58+C57+C60+C63+C65+C66+C68+C64+C67</f>
        <v>0</v>
      </c>
      <c r="D43" s="105">
        <f t="shared" si="21"/>
        <v>375903410</v>
      </c>
      <c r="E43" s="105">
        <f t="shared" si="21"/>
        <v>365493310</v>
      </c>
      <c r="F43" s="105">
        <f t="shared" si="21"/>
        <v>360309420</v>
      </c>
      <c r="G43" s="105">
        <f t="shared" si="21"/>
        <v>278289003.17000002</v>
      </c>
      <c r="H43" s="105">
        <f t="shared" si="21"/>
        <v>52470122.410000011</v>
      </c>
      <c r="I43" s="55"/>
      <c r="J43" s="55"/>
      <c r="K43" s="55"/>
      <c r="L43" s="56"/>
    </row>
    <row r="44" spans="1:247" ht="16.5" customHeight="1">
      <c r="A44" s="52" t="s">
        <v>282</v>
      </c>
      <c r="B44" s="57" t="s">
        <v>283</v>
      </c>
      <c r="C44" s="105">
        <f t="shared" ref="C44:H44" si="22">+C45+C46+C47+C48+C49+C50+C51+C52+C54</f>
        <v>0</v>
      </c>
      <c r="D44" s="105">
        <f t="shared" si="22"/>
        <v>375273410</v>
      </c>
      <c r="E44" s="105">
        <f t="shared" si="22"/>
        <v>364863310</v>
      </c>
      <c r="F44" s="105">
        <f t="shared" si="22"/>
        <v>359998420</v>
      </c>
      <c r="G44" s="105">
        <f t="shared" si="22"/>
        <v>278013110.72000003</v>
      </c>
      <c r="H44" s="105">
        <f t="shared" si="22"/>
        <v>52195817.010000013</v>
      </c>
      <c r="I44" s="55"/>
      <c r="J44" s="55"/>
      <c r="K44" s="55"/>
    </row>
    <row r="45" spans="1:247" s="56" customFormat="1" ht="16.5" customHeight="1">
      <c r="A45" s="59" t="s">
        <v>284</v>
      </c>
      <c r="B45" s="62" t="s">
        <v>285</v>
      </c>
      <c r="C45" s="106"/>
      <c r="D45" s="54">
        <v>86000</v>
      </c>
      <c r="E45" s="54">
        <v>86000</v>
      </c>
      <c r="F45" s="54">
        <v>48750</v>
      </c>
      <c r="G45" s="83">
        <f>13432.03+12317.97+11903.11</f>
        <v>37653.11</v>
      </c>
      <c r="H45" s="83">
        <v>0</v>
      </c>
      <c r="I45" s="55"/>
      <c r="J45" s="55"/>
      <c r="K45" s="55"/>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row>
    <row r="46" spans="1:247" s="56" customFormat="1" ht="16.5" customHeight="1">
      <c r="A46" s="59" t="s">
        <v>286</v>
      </c>
      <c r="B46" s="62" t="s">
        <v>287</v>
      </c>
      <c r="C46" s="106"/>
      <c r="D46" s="54"/>
      <c r="E46" s="54"/>
      <c r="F46" s="54"/>
      <c r="G46" s="83"/>
      <c r="H46" s="83"/>
      <c r="I46" s="55"/>
      <c r="J46" s="55"/>
      <c r="K46" s="55"/>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row>
    <row r="47" spans="1:247" ht="16.5" customHeight="1">
      <c r="A47" s="59" t="s">
        <v>288</v>
      </c>
      <c r="B47" s="62" t="s">
        <v>289</v>
      </c>
      <c r="C47" s="106"/>
      <c r="D47" s="54">
        <v>139000</v>
      </c>
      <c r="E47" s="54">
        <v>139000</v>
      </c>
      <c r="F47" s="54">
        <v>85000</v>
      </c>
      <c r="G47" s="83">
        <f>40000+13242.05+18666.71+10769.51</f>
        <v>82678.27</v>
      </c>
      <c r="H47" s="83">
        <v>10769.51</v>
      </c>
      <c r="I47" s="55"/>
      <c r="J47" s="55"/>
      <c r="K47" s="55"/>
    </row>
    <row r="48" spans="1:247" ht="16.5" customHeight="1">
      <c r="A48" s="59" t="s">
        <v>290</v>
      </c>
      <c r="B48" s="62" t="s">
        <v>291</v>
      </c>
      <c r="C48" s="106"/>
      <c r="D48" s="54">
        <v>18000</v>
      </c>
      <c r="E48" s="54">
        <v>18000</v>
      </c>
      <c r="F48" s="54">
        <v>10500</v>
      </c>
      <c r="G48" s="83">
        <f>3887.83+2112.17+3415.71+1084.29</f>
        <v>10500</v>
      </c>
      <c r="H48" s="83">
        <v>1084.29</v>
      </c>
      <c r="I48" s="55"/>
      <c r="J48" s="55"/>
      <c r="K48" s="55"/>
    </row>
    <row r="49" spans="1:247" ht="16.5" customHeight="1">
      <c r="A49" s="59" t="s">
        <v>292</v>
      </c>
      <c r="B49" s="62" t="s">
        <v>293</v>
      </c>
      <c r="C49" s="106"/>
      <c r="D49" s="54">
        <v>12000</v>
      </c>
      <c r="E49" s="54">
        <v>12000</v>
      </c>
      <c r="F49" s="54">
        <v>4500</v>
      </c>
      <c r="G49" s="83">
        <v>2650</v>
      </c>
      <c r="H49" s="83">
        <v>0</v>
      </c>
      <c r="I49" s="55"/>
      <c r="J49" s="55"/>
      <c r="K49" s="55"/>
    </row>
    <row r="50" spans="1:247" ht="16.5" customHeight="1">
      <c r="A50" s="59" t="s">
        <v>294</v>
      </c>
      <c r="B50" s="62" t="s">
        <v>295</v>
      </c>
      <c r="C50" s="106"/>
      <c r="D50" s="54">
        <v>5000</v>
      </c>
      <c r="E50" s="54">
        <v>5000</v>
      </c>
      <c r="F50" s="54">
        <v>1500</v>
      </c>
      <c r="G50" s="83"/>
      <c r="H50" s="83"/>
      <c r="I50" s="55"/>
      <c r="J50" s="55"/>
      <c r="K50" s="55"/>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row>
    <row r="51" spans="1:247" ht="16.5" customHeight="1">
      <c r="A51" s="59" t="s">
        <v>296</v>
      </c>
      <c r="B51" s="62" t="s">
        <v>297</v>
      </c>
      <c r="C51" s="106"/>
      <c r="D51" s="54">
        <v>81000</v>
      </c>
      <c r="E51" s="54">
        <v>81000</v>
      </c>
      <c r="F51" s="54">
        <v>43000</v>
      </c>
      <c r="G51" s="83">
        <f>15145.66+7854.34+8410.45+8639.22</f>
        <v>40049.67</v>
      </c>
      <c r="H51" s="83">
        <v>8639.2199999999993</v>
      </c>
      <c r="I51" s="55"/>
      <c r="J51" s="55"/>
      <c r="K51" s="55"/>
      <c r="L51" s="56"/>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row>
    <row r="52" spans="1:247" ht="16.5" customHeight="1">
      <c r="A52" s="52" t="s">
        <v>298</v>
      </c>
      <c r="B52" s="57" t="s">
        <v>299</v>
      </c>
      <c r="C52" s="107">
        <f t="shared" ref="C52:H52" si="23">+C53+C88</f>
        <v>0</v>
      </c>
      <c r="D52" s="107">
        <f t="shared" si="23"/>
        <v>374878410</v>
      </c>
      <c r="E52" s="107">
        <f t="shared" si="23"/>
        <v>364468310</v>
      </c>
      <c r="F52" s="107">
        <f t="shared" si="23"/>
        <v>359780670</v>
      </c>
      <c r="G52" s="107">
        <f t="shared" si="23"/>
        <v>277819922.24000001</v>
      </c>
      <c r="H52" s="107">
        <f t="shared" si="23"/>
        <v>52170991.20000001</v>
      </c>
      <c r="I52" s="55"/>
      <c r="J52" s="55"/>
      <c r="K52" s="55"/>
      <c r="L52" s="64"/>
    </row>
    <row r="53" spans="1:247" ht="16.5" customHeight="1">
      <c r="A53" s="65" t="s">
        <v>300</v>
      </c>
      <c r="B53" s="66" t="s">
        <v>301</v>
      </c>
      <c r="C53" s="108"/>
      <c r="D53" s="54">
        <v>550000</v>
      </c>
      <c r="E53" s="54">
        <v>550000</v>
      </c>
      <c r="F53" s="54">
        <v>257000</v>
      </c>
      <c r="G53" s="83">
        <f>79050.5+40449.5+31941.69+86587.95</f>
        <v>238029.64</v>
      </c>
      <c r="H53" s="83">
        <v>86587.95</v>
      </c>
      <c r="I53" s="55"/>
      <c r="J53" s="55"/>
      <c r="K53" s="55"/>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row>
    <row r="54" spans="1:247" s="56" customFormat="1" ht="16.5" customHeight="1">
      <c r="A54" s="59" t="s">
        <v>302</v>
      </c>
      <c r="B54" s="62" t="s">
        <v>303</v>
      </c>
      <c r="C54" s="106"/>
      <c r="D54" s="54">
        <v>54000</v>
      </c>
      <c r="E54" s="54">
        <v>54000</v>
      </c>
      <c r="F54" s="54">
        <v>24500</v>
      </c>
      <c r="G54" s="83">
        <f>6659.06+4332.79+4332.79+4332.79</f>
        <v>19657.43</v>
      </c>
      <c r="H54" s="83">
        <v>4332.79</v>
      </c>
      <c r="I54" s="55"/>
      <c r="J54" s="55"/>
      <c r="K54" s="55"/>
    </row>
    <row r="55" spans="1:247" s="64" customFormat="1" ht="16.5" customHeight="1">
      <c r="A55" s="59"/>
      <c r="B55" s="62" t="s">
        <v>304</v>
      </c>
      <c r="C55" s="106"/>
      <c r="D55" s="54"/>
      <c r="E55" s="54"/>
      <c r="F55" s="54"/>
      <c r="G55" s="83"/>
      <c r="H55" s="83"/>
      <c r="I55" s="55"/>
      <c r="J55" s="55"/>
      <c r="K55" s="55"/>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row>
    <row r="56" spans="1:247" ht="16.5" customHeight="1">
      <c r="A56" s="59"/>
      <c r="B56" s="62" t="s">
        <v>305</v>
      </c>
      <c r="C56" s="106"/>
      <c r="D56" s="54">
        <v>54000</v>
      </c>
      <c r="E56" s="54">
        <v>54000</v>
      </c>
      <c r="F56" s="54">
        <v>24500</v>
      </c>
      <c r="G56" s="83">
        <v>19657.43</v>
      </c>
      <c r="H56" s="83">
        <v>4332.79</v>
      </c>
      <c r="I56" s="55"/>
      <c r="J56" s="55"/>
      <c r="K56" s="55"/>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row>
    <row r="57" spans="1:247" s="56" customFormat="1" ht="16.5" customHeight="1">
      <c r="A57" s="52" t="s">
        <v>306</v>
      </c>
      <c r="B57" s="62" t="s">
        <v>307</v>
      </c>
      <c r="C57" s="106"/>
      <c r="D57" s="54">
        <v>600000</v>
      </c>
      <c r="E57" s="54">
        <v>600000</v>
      </c>
      <c r="F57" s="54">
        <v>300000</v>
      </c>
      <c r="G57" s="83">
        <v>273843.32</v>
      </c>
      <c r="H57" s="83">
        <v>273843.32</v>
      </c>
      <c r="I57" s="55"/>
      <c r="J57" s="55"/>
      <c r="K57" s="55"/>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row>
    <row r="58" spans="1:247" s="56" customFormat="1" ht="16.5" customHeight="1">
      <c r="A58" s="52" t="s">
        <v>308</v>
      </c>
      <c r="B58" s="57" t="s">
        <v>309</v>
      </c>
      <c r="C58" s="109">
        <f t="shared" ref="C58:H58" si="24">+C59</f>
        <v>0</v>
      </c>
      <c r="D58" s="109">
        <f t="shared" si="24"/>
        <v>18000</v>
      </c>
      <c r="E58" s="109">
        <f t="shared" si="24"/>
        <v>18000</v>
      </c>
      <c r="F58" s="109">
        <f t="shared" si="24"/>
        <v>6000</v>
      </c>
      <c r="G58" s="109">
        <f t="shared" si="24"/>
        <v>0</v>
      </c>
      <c r="H58" s="109">
        <f t="shared" si="24"/>
        <v>0</v>
      </c>
      <c r="I58" s="55"/>
      <c r="J58" s="55"/>
      <c r="K58" s="55"/>
      <c r="L58" s="39"/>
    </row>
    <row r="59" spans="1:247" s="56" customFormat="1" ht="16.5" customHeight="1">
      <c r="A59" s="59" t="s">
        <v>310</v>
      </c>
      <c r="B59" s="62" t="s">
        <v>311</v>
      </c>
      <c r="C59" s="106"/>
      <c r="D59" s="54">
        <v>18000</v>
      </c>
      <c r="E59" s="54">
        <v>18000</v>
      </c>
      <c r="F59" s="54">
        <v>6000</v>
      </c>
      <c r="G59" s="83"/>
      <c r="H59" s="83"/>
      <c r="I59" s="55"/>
      <c r="J59" s="55"/>
      <c r="K59" s="55"/>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row>
    <row r="60" spans="1:247" s="56" customFormat="1" ht="16.5" customHeight="1">
      <c r="A60" s="52" t="s">
        <v>312</v>
      </c>
      <c r="B60" s="57" t="s">
        <v>313</v>
      </c>
      <c r="C60" s="105">
        <f t="shared" ref="C60:H60" si="25">+C61+C62</f>
        <v>0</v>
      </c>
      <c r="D60" s="105">
        <f t="shared" si="25"/>
        <v>7000</v>
      </c>
      <c r="E60" s="105">
        <f t="shared" si="25"/>
        <v>7000</v>
      </c>
      <c r="F60" s="105">
        <f t="shared" ref="F60" si="26">+F61+F62</f>
        <v>3750</v>
      </c>
      <c r="G60" s="105">
        <f t="shared" si="25"/>
        <v>2049.13</v>
      </c>
      <c r="H60" s="105">
        <f t="shared" si="25"/>
        <v>462.08</v>
      </c>
      <c r="I60" s="55"/>
      <c r="J60" s="55"/>
      <c r="K60" s="55"/>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row>
    <row r="61" spans="1:247" ht="16.5" customHeight="1">
      <c r="A61" s="52" t="s">
        <v>314</v>
      </c>
      <c r="B61" s="62" t="s">
        <v>315</v>
      </c>
      <c r="C61" s="106"/>
      <c r="D61" s="54">
        <v>7000</v>
      </c>
      <c r="E61" s="54">
        <v>7000</v>
      </c>
      <c r="F61" s="54">
        <v>3750</v>
      </c>
      <c r="G61" s="83">
        <f>1990.33-403.28+462.08</f>
        <v>2049.13</v>
      </c>
      <c r="H61" s="83">
        <v>462.08</v>
      </c>
      <c r="I61" s="55"/>
      <c r="J61" s="55"/>
      <c r="K61" s="55"/>
    </row>
    <row r="62" spans="1:247" s="56" customFormat="1" ht="16.5" customHeight="1">
      <c r="A62" s="52" t="s">
        <v>316</v>
      </c>
      <c r="B62" s="62" t="s">
        <v>317</v>
      </c>
      <c r="C62" s="106"/>
      <c r="D62" s="54"/>
      <c r="E62" s="54"/>
      <c r="F62" s="54"/>
      <c r="G62" s="83"/>
      <c r="H62" s="83"/>
      <c r="I62" s="55"/>
      <c r="J62" s="55"/>
      <c r="K62" s="55"/>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row>
    <row r="63" spans="1:247" ht="16.5" customHeight="1">
      <c r="A63" s="59" t="s">
        <v>318</v>
      </c>
      <c r="B63" s="62" t="s">
        <v>319</v>
      </c>
      <c r="C63" s="106"/>
      <c r="D63" s="54">
        <v>1000</v>
      </c>
      <c r="E63" s="54">
        <v>1000</v>
      </c>
      <c r="F63" s="54">
        <v>250</v>
      </c>
      <c r="G63" s="83"/>
      <c r="H63" s="83"/>
      <c r="I63" s="55"/>
      <c r="J63" s="55"/>
      <c r="K63" s="55"/>
    </row>
    <row r="64" spans="1:247" ht="16.5" customHeight="1">
      <c r="A64" s="59" t="s">
        <v>320</v>
      </c>
      <c r="B64" s="60" t="s">
        <v>321</v>
      </c>
      <c r="C64" s="106"/>
      <c r="D64" s="54"/>
      <c r="E64" s="54"/>
      <c r="F64" s="54"/>
      <c r="G64" s="83"/>
      <c r="H64" s="83"/>
      <c r="I64" s="55"/>
      <c r="J64" s="55"/>
      <c r="K64" s="55"/>
    </row>
    <row r="65" spans="1:247" ht="16.5" customHeight="1">
      <c r="A65" s="59" t="s">
        <v>322</v>
      </c>
      <c r="B65" s="62" t="s">
        <v>323</v>
      </c>
      <c r="C65" s="106"/>
      <c r="D65" s="54"/>
      <c r="E65" s="54"/>
      <c r="F65" s="54"/>
      <c r="G65" s="83"/>
      <c r="H65" s="83"/>
      <c r="I65" s="55"/>
      <c r="J65" s="55"/>
      <c r="K65" s="55"/>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c r="GQ65" s="56"/>
      <c r="GR65" s="56"/>
      <c r="GS65" s="56"/>
      <c r="GT65" s="56"/>
      <c r="GU65" s="56"/>
      <c r="GV65" s="56"/>
      <c r="GW65" s="56"/>
      <c r="GX65" s="56"/>
      <c r="GY65" s="56"/>
      <c r="GZ65" s="56"/>
      <c r="HA65" s="56"/>
      <c r="HB65" s="56"/>
      <c r="HC65" s="56"/>
      <c r="HD65" s="56"/>
      <c r="HE65" s="56"/>
      <c r="HF65" s="56"/>
      <c r="HG65" s="56"/>
      <c r="HH65" s="56"/>
      <c r="HI65" s="56"/>
      <c r="HJ65" s="56"/>
      <c r="HK65" s="56"/>
      <c r="HL65" s="56"/>
      <c r="HM65" s="56"/>
      <c r="HN65" s="56"/>
      <c r="HO65" s="56"/>
      <c r="HP65" s="56"/>
      <c r="HQ65" s="56"/>
      <c r="HR65" s="56"/>
      <c r="HS65" s="56"/>
      <c r="HT65" s="56"/>
      <c r="HU65" s="56"/>
      <c r="HV65" s="56"/>
      <c r="HW65" s="56"/>
      <c r="HX65" s="56"/>
      <c r="HY65" s="56"/>
      <c r="HZ65" s="56"/>
      <c r="IA65" s="56"/>
      <c r="IB65" s="56"/>
      <c r="IC65" s="56"/>
      <c r="ID65" s="56"/>
      <c r="IE65" s="56"/>
      <c r="IF65" s="56"/>
      <c r="IG65" s="56"/>
      <c r="IH65" s="56"/>
      <c r="II65" s="56"/>
      <c r="IJ65" s="56"/>
      <c r="IK65" s="56"/>
      <c r="IL65" s="56"/>
      <c r="IM65" s="56"/>
    </row>
    <row r="66" spans="1:247" ht="16.5" customHeight="1">
      <c r="A66" s="59" t="s">
        <v>324</v>
      </c>
      <c r="B66" s="62" t="s">
        <v>325</v>
      </c>
      <c r="C66" s="106"/>
      <c r="D66" s="54">
        <v>4000</v>
      </c>
      <c r="E66" s="54">
        <v>4000</v>
      </c>
      <c r="F66" s="54">
        <v>1000</v>
      </c>
      <c r="G66" s="83"/>
      <c r="H66" s="83"/>
      <c r="I66" s="55"/>
      <c r="J66" s="55"/>
      <c r="K66" s="55"/>
      <c r="L66" s="56"/>
    </row>
    <row r="67" spans="1:247" ht="30">
      <c r="A67" s="59" t="s">
        <v>326</v>
      </c>
      <c r="B67" s="62" t="s">
        <v>327</v>
      </c>
      <c r="C67" s="106"/>
      <c r="D67" s="54"/>
      <c r="E67" s="54"/>
      <c r="F67" s="54"/>
      <c r="G67" s="83"/>
      <c r="H67" s="83"/>
      <c r="I67" s="55"/>
      <c r="J67" s="55"/>
      <c r="K67" s="55"/>
      <c r="L67" s="56"/>
    </row>
    <row r="68" spans="1:247" ht="16.5" customHeight="1">
      <c r="A68" s="52" t="s">
        <v>328</v>
      </c>
      <c r="B68" s="57" t="s">
        <v>329</v>
      </c>
      <c r="C68" s="109">
        <f t="shared" ref="C68:H68" si="27">+C69+C70</f>
        <v>0</v>
      </c>
      <c r="D68" s="109">
        <f t="shared" si="27"/>
        <v>0</v>
      </c>
      <c r="E68" s="109">
        <f t="shared" si="27"/>
        <v>0</v>
      </c>
      <c r="F68" s="109">
        <f t="shared" si="27"/>
        <v>0</v>
      </c>
      <c r="G68" s="109">
        <f t="shared" si="27"/>
        <v>0</v>
      </c>
      <c r="H68" s="109">
        <f t="shared" si="27"/>
        <v>0</v>
      </c>
      <c r="I68" s="55"/>
      <c r="J68" s="55"/>
      <c r="K68" s="55"/>
    </row>
    <row r="69" spans="1:247" ht="16.5" customHeight="1">
      <c r="A69" s="59" t="s">
        <v>330</v>
      </c>
      <c r="B69" s="62" t="s">
        <v>331</v>
      </c>
      <c r="C69" s="106"/>
      <c r="D69" s="54"/>
      <c r="E69" s="54"/>
      <c r="F69" s="54"/>
      <c r="G69" s="83"/>
      <c r="H69" s="83"/>
      <c r="I69" s="55"/>
      <c r="J69" s="55"/>
      <c r="K69" s="55"/>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row>
    <row r="70" spans="1:247" s="56" customFormat="1" ht="16.5" customHeight="1">
      <c r="A70" s="59" t="s">
        <v>332</v>
      </c>
      <c r="B70" s="62" t="s">
        <v>333</v>
      </c>
      <c r="C70" s="106"/>
      <c r="D70" s="54"/>
      <c r="E70" s="54"/>
      <c r="F70" s="54"/>
      <c r="G70" s="114"/>
      <c r="H70" s="114"/>
      <c r="I70" s="55"/>
      <c r="J70" s="55"/>
      <c r="K70" s="55"/>
    </row>
    <row r="71" spans="1:247" ht="16.5" customHeight="1">
      <c r="A71" s="52" t="s">
        <v>334</v>
      </c>
      <c r="B71" s="57" t="s">
        <v>223</v>
      </c>
      <c r="C71" s="105">
        <f>+C72</f>
        <v>0</v>
      </c>
      <c r="D71" s="105">
        <f t="shared" ref="D71:H72" si="28">+D72</f>
        <v>0</v>
      </c>
      <c r="E71" s="105">
        <f t="shared" si="28"/>
        <v>0</v>
      </c>
      <c r="F71" s="105">
        <f t="shared" si="28"/>
        <v>0</v>
      </c>
      <c r="G71" s="105">
        <f t="shared" si="28"/>
        <v>0</v>
      </c>
      <c r="H71" s="105">
        <f t="shared" si="28"/>
        <v>0</v>
      </c>
      <c r="I71" s="55"/>
      <c r="J71" s="55"/>
      <c r="K71" s="55"/>
      <c r="L71" s="56"/>
    </row>
    <row r="72" spans="1:247" ht="16.5" customHeight="1">
      <c r="A72" s="67" t="s">
        <v>335</v>
      </c>
      <c r="B72" s="57" t="s">
        <v>336</v>
      </c>
      <c r="C72" s="105">
        <f>+C73</f>
        <v>0</v>
      </c>
      <c r="D72" s="105">
        <f t="shared" si="28"/>
        <v>0</v>
      </c>
      <c r="E72" s="105">
        <f t="shared" si="28"/>
        <v>0</v>
      </c>
      <c r="F72" s="105">
        <f t="shared" si="28"/>
        <v>0</v>
      </c>
      <c r="G72" s="105">
        <f t="shared" si="28"/>
        <v>0</v>
      </c>
      <c r="H72" s="105">
        <f t="shared" si="28"/>
        <v>0</v>
      </c>
      <c r="I72" s="55"/>
      <c r="J72" s="55"/>
      <c r="K72" s="55"/>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c r="GQ72" s="56"/>
      <c r="GR72" s="56"/>
      <c r="GS72" s="56"/>
      <c r="GT72" s="56"/>
      <c r="GU72" s="56"/>
      <c r="GV72" s="56"/>
      <c r="GW72" s="56"/>
      <c r="GX72" s="56"/>
      <c r="GY72" s="56"/>
      <c r="GZ72" s="56"/>
      <c r="HA72" s="56"/>
      <c r="HB72" s="56"/>
      <c r="HC72" s="56"/>
      <c r="HD72" s="56"/>
      <c r="HE72" s="56"/>
      <c r="HF72" s="56"/>
      <c r="HG72" s="56"/>
      <c r="HH72" s="56"/>
      <c r="HI72" s="56"/>
      <c r="HJ72" s="56"/>
      <c r="HK72" s="56"/>
      <c r="HL72" s="56"/>
      <c r="HM72" s="56"/>
      <c r="HN72" s="56"/>
      <c r="HO72" s="56"/>
      <c r="HP72" s="56"/>
      <c r="HQ72" s="56"/>
      <c r="HR72" s="56"/>
      <c r="HS72" s="56"/>
      <c r="HT72" s="56"/>
      <c r="HU72" s="56"/>
      <c r="HV72" s="56"/>
      <c r="HW72" s="56"/>
      <c r="HX72" s="56"/>
      <c r="HY72" s="56"/>
      <c r="HZ72" s="56"/>
      <c r="IA72" s="56"/>
      <c r="IB72" s="56"/>
      <c r="IC72" s="56"/>
      <c r="ID72" s="56"/>
      <c r="IE72" s="56"/>
      <c r="IF72" s="56"/>
      <c r="IG72" s="56"/>
      <c r="IH72" s="56"/>
      <c r="II72" s="56"/>
      <c r="IJ72" s="56"/>
      <c r="IK72" s="56"/>
      <c r="IL72" s="56"/>
      <c r="IM72" s="56"/>
    </row>
    <row r="73" spans="1:247" s="56" customFormat="1" ht="16.5" customHeight="1">
      <c r="A73" s="67" t="s">
        <v>337</v>
      </c>
      <c r="B73" s="62" t="s">
        <v>338</v>
      </c>
      <c r="C73" s="106"/>
      <c r="D73" s="54"/>
      <c r="E73" s="54"/>
      <c r="F73" s="54"/>
      <c r="G73" s="83"/>
      <c r="H73" s="83"/>
      <c r="I73" s="55"/>
      <c r="J73" s="55"/>
      <c r="K73" s="55"/>
    </row>
    <row r="74" spans="1:247" s="56" customFormat="1" ht="16.5" customHeight="1">
      <c r="A74" s="67" t="s">
        <v>339</v>
      </c>
      <c r="B74" s="68" t="s">
        <v>231</v>
      </c>
      <c r="C74" s="106">
        <f t="shared" ref="C74:H74" si="29">C75+C76</f>
        <v>0</v>
      </c>
      <c r="D74" s="106">
        <f t="shared" si="29"/>
        <v>9000</v>
      </c>
      <c r="E74" s="106">
        <f t="shared" si="29"/>
        <v>9000</v>
      </c>
      <c r="F74" s="106">
        <f t="shared" si="29"/>
        <v>4700</v>
      </c>
      <c r="G74" s="106">
        <f t="shared" si="29"/>
        <v>2961</v>
      </c>
      <c r="H74" s="106">
        <f t="shared" si="29"/>
        <v>720</v>
      </c>
      <c r="I74" s="55"/>
      <c r="J74" s="55"/>
      <c r="K74" s="55"/>
    </row>
    <row r="75" spans="1:247" s="56" customFormat="1" ht="16.5" customHeight="1">
      <c r="A75" s="67" t="s">
        <v>340</v>
      </c>
      <c r="B75" s="69" t="s">
        <v>341</v>
      </c>
      <c r="C75" s="106"/>
      <c r="D75" s="54"/>
      <c r="E75" s="54"/>
      <c r="F75" s="54"/>
      <c r="G75" s="83"/>
      <c r="H75" s="83"/>
      <c r="I75" s="55"/>
      <c r="J75" s="55"/>
      <c r="K75" s="55"/>
    </row>
    <row r="76" spans="1:247" ht="16.5" customHeight="1">
      <c r="A76" s="67" t="s">
        <v>342</v>
      </c>
      <c r="B76" s="69" t="s">
        <v>343</v>
      </c>
      <c r="C76" s="106"/>
      <c r="D76" s="54">
        <v>9000</v>
      </c>
      <c r="E76" s="54">
        <v>9000</v>
      </c>
      <c r="F76" s="54">
        <v>4700</v>
      </c>
      <c r="G76" s="83">
        <f>1101+480+660+720</f>
        <v>2961</v>
      </c>
      <c r="H76" s="83">
        <v>720</v>
      </c>
      <c r="I76" s="55"/>
      <c r="J76" s="55"/>
      <c r="K76" s="55"/>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56"/>
      <c r="GW76" s="56"/>
      <c r="GX76" s="56"/>
      <c r="GY76" s="56"/>
      <c r="GZ76" s="56"/>
      <c r="HA76" s="56"/>
      <c r="HB76" s="56"/>
      <c r="HC76" s="56"/>
      <c r="HD76" s="56"/>
      <c r="HE76" s="56"/>
      <c r="HF76" s="56"/>
      <c r="HG76" s="56"/>
      <c r="HH76" s="56"/>
      <c r="HI76" s="56"/>
      <c r="HJ76" s="56"/>
      <c r="HK76" s="56"/>
      <c r="HL76" s="56"/>
      <c r="HM76" s="56"/>
      <c r="HN76" s="56"/>
      <c r="HO76" s="56"/>
      <c r="HP76" s="56"/>
      <c r="HQ76" s="56"/>
      <c r="HR76" s="56"/>
      <c r="HS76" s="56"/>
      <c r="HT76" s="56"/>
      <c r="HU76" s="56"/>
      <c r="HV76" s="56"/>
      <c r="HW76" s="56"/>
      <c r="HX76" s="56"/>
      <c r="HY76" s="56"/>
      <c r="HZ76" s="56"/>
      <c r="IA76" s="56"/>
      <c r="IB76" s="56"/>
      <c r="IC76" s="56"/>
      <c r="ID76" s="56"/>
      <c r="IE76" s="56"/>
      <c r="IF76" s="56"/>
      <c r="IG76" s="56"/>
      <c r="IH76" s="56"/>
      <c r="II76" s="56"/>
      <c r="IJ76" s="56"/>
      <c r="IK76" s="56"/>
      <c r="IL76" s="56"/>
      <c r="IM76" s="56"/>
    </row>
    <row r="77" spans="1:247" s="56" customFormat="1" ht="16.5" customHeight="1">
      <c r="A77" s="52" t="s">
        <v>344</v>
      </c>
      <c r="B77" s="57" t="s">
        <v>233</v>
      </c>
      <c r="C77" s="105">
        <f t="shared" ref="C77:H77" si="30">+C78</f>
        <v>0</v>
      </c>
      <c r="D77" s="105">
        <f t="shared" si="30"/>
        <v>1470000</v>
      </c>
      <c r="E77" s="105">
        <f t="shared" si="30"/>
        <v>1470000</v>
      </c>
      <c r="F77" s="105">
        <f t="shared" si="30"/>
        <v>740000</v>
      </c>
      <c r="G77" s="105">
        <f t="shared" si="30"/>
        <v>99630.05</v>
      </c>
      <c r="H77" s="105">
        <f t="shared" si="30"/>
        <v>0</v>
      </c>
      <c r="I77" s="55"/>
      <c r="J77" s="55"/>
      <c r="K77" s="55"/>
    </row>
    <row r="78" spans="1:247" s="56" customFormat="1" ht="16.5" customHeight="1">
      <c r="A78" s="52" t="s">
        <v>345</v>
      </c>
      <c r="B78" s="57" t="s">
        <v>235</v>
      </c>
      <c r="C78" s="105">
        <f t="shared" ref="C78:H78" si="31">+C79+C84</f>
        <v>0</v>
      </c>
      <c r="D78" s="105">
        <f t="shared" si="31"/>
        <v>1470000</v>
      </c>
      <c r="E78" s="105">
        <f t="shared" si="31"/>
        <v>1470000</v>
      </c>
      <c r="F78" s="105">
        <f t="shared" si="31"/>
        <v>740000</v>
      </c>
      <c r="G78" s="105">
        <f t="shared" si="31"/>
        <v>99630.05</v>
      </c>
      <c r="H78" s="105">
        <f t="shared" si="31"/>
        <v>0</v>
      </c>
      <c r="I78" s="55"/>
      <c r="J78" s="55"/>
      <c r="K78" s="55"/>
    </row>
    <row r="79" spans="1:247" s="56" customFormat="1" ht="16.5" customHeight="1">
      <c r="A79" s="52" t="s">
        <v>346</v>
      </c>
      <c r="B79" s="57" t="s">
        <v>347</v>
      </c>
      <c r="C79" s="105">
        <f t="shared" ref="C79:H79" si="32">+C81+C83+C82+C80</f>
        <v>0</v>
      </c>
      <c r="D79" s="105">
        <f t="shared" si="32"/>
        <v>140000</v>
      </c>
      <c r="E79" s="105">
        <f t="shared" si="32"/>
        <v>140000</v>
      </c>
      <c r="F79" s="105">
        <f t="shared" si="32"/>
        <v>140000</v>
      </c>
      <c r="G79" s="105">
        <f t="shared" si="32"/>
        <v>99630.05</v>
      </c>
      <c r="H79" s="105">
        <f t="shared" si="32"/>
        <v>0</v>
      </c>
      <c r="I79" s="55"/>
      <c r="J79" s="55"/>
      <c r="K79" s="55"/>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row>
    <row r="80" spans="1:247" s="56" customFormat="1" ht="16.5" customHeight="1">
      <c r="A80" s="52" t="s">
        <v>348</v>
      </c>
      <c r="B80" s="60" t="s">
        <v>349</v>
      </c>
      <c r="C80" s="105"/>
      <c r="D80" s="54"/>
      <c r="E80" s="54"/>
      <c r="F80" s="54"/>
      <c r="G80" s="83"/>
      <c r="H80" s="83"/>
      <c r="I80" s="55"/>
      <c r="J80" s="55"/>
      <c r="K80" s="55"/>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row>
    <row r="81" spans="1:247" s="56" customFormat="1" ht="16.5" customHeight="1">
      <c r="A81" s="59" t="s">
        <v>350</v>
      </c>
      <c r="B81" s="62" t="s">
        <v>351</v>
      </c>
      <c r="C81" s="106"/>
      <c r="D81" s="54">
        <v>140000</v>
      </c>
      <c r="E81" s="54">
        <v>140000</v>
      </c>
      <c r="F81" s="54">
        <v>140000</v>
      </c>
      <c r="G81" s="83">
        <v>99630.05</v>
      </c>
      <c r="H81" s="83">
        <v>0</v>
      </c>
      <c r="I81" s="55"/>
      <c r="J81" s="55"/>
      <c r="K81" s="55"/>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row>
    <row r="82" spans="1:247" s="56" customFormat="1" ht="16.5" customHeight="1">
      <c r="A82" s="59" t="s">
        <v>352</v>
      </c>
      <c r="B82" s="60" t="s">
        <v>353</v>
      </c>
      <c r="C82" s="106"/>
      <c r="D82" s="54"/>
      <c r="E82" s="54"/>
      <c r="F82" s="54"/>
      <c r="G82" s="83"/>
      <c r="H82" s="83"/>
      <c r="I82" s="55"/>
      <c r="J82" s="55"/>
      <c r="K82" s="55"/>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row>
    <row r="83" spans="1:247" ht="16.5" customHeight="1">
      <c r="A83" s="59" t="s">
        <v>354</v>
      </c>
      <c r="B83" s="62" t="s">
        <v>355</v>
      </c>
      <c r="C83" s="106"/>
      <c r="D83" s="54"/>
      <c r="E83" s="54"/>
      <c r="F83" s="54"/>
      <c r="G83" s="83"/>
      <c r="H83" s="83"/>
      <c r="I83" s="55"/>
      <c r="J83" s="55"/>
      <c r="K83" s="55"/>
    </row>
    <row r="84" spans="1:247" ht="16.5" customHeight="1">
      <c r="A84" s="70" t="s">
        <v>356</v>
      </c>
      <c r="B84" s="60" t="s">
        <v>357</v>
      </c>
      <c r="C84" s="106"/>
      <c r="D84" s="54">
        <v>1330000</v>
      </c>
      <c r="E84" s="54">
        <v>1330000</v>
      </c>
      <c r="F84" s="54">
        <v>600000</v>
      </c>
      <c r="G84" s="83"/>
      <c r="H84" s="83"/>
      <c r="I84" s="55"/>
      <c r="J84" s="55"/>
      <c r="K84" s="55"/>
    </row>
    <row r="85" spans="1:247" ht="16.5" customHeight="1">
      <c r="A85" s="59" t="s">
        <v>243</v>
      </c>
      <c r="B85" s="62" t="s">
        <v>358</v>
      </c>
      <c r="C85" s="106"/>
      <c r="D85" s="54"/>
      <c r="E85" s="54"/>
      <c r="F85" s="54"/>
      <c r="G85" s="83"/>
      <c r="H85" s="83"/>
      <c r="I85" s="55"/>
      <c r="J85" s="55"/>
      <c r="K85" s="55"/>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row>
    <row r="86" spans="1:247" ht="16.5" customHeight="1">
      <c r="A86" s="59" t="s">
        <v>359</v>
      </c>
      <c r="B86" s="62" t="s">
        <v>360</v>
      </c>
      <c r="C86" s="105">
        <f>C43-C88+C9+C11+C12+C14+C15+C16-C85</f>
        <v>0</v>
      </c>
      <c r="D86" s="105">
        <f t="shared" ref="D86:H86" si="33">D43-D88+D9+D11+D12+D14+D15+D16-D85</f>
        <v>279526620</v>
      </c>
      <c r="E86" s="105">
        <f t="shared" si="33"/>
        <v>279526620</v>
      </c>
      <c r="F86" s="105">
        <f t="shared" si="33"/>
        <v>169086610</v>
      </c>
      <c r="G86" s="105">
        <f t="shared" si="33"/>
        <v>140722497.62</v>
      </c>
      <c r="H86" s="105">
        <f t="shared" si="33"/>
        <v>28416787.160000004</v>
      </c>
      <c r="I86" s="55"/>
      <c r="J86" s="55"/>
      <c r="K86" s="55"/>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row>
    <row r="87" spans="1:247" ht="16.5" customHeight="1">
      <c r="A87" s="59"/>
      <c r="B87" s="62" t="s">
        <v>361</v>
      </c>
      <c r="C87" s="105"/>
      <c r="D87" s="54"/>
      <c r="E87" s="54"/>
      <c r="F87" s="54"/>
      <c r="G87" s="115"/>
      <c r="H87" s="115"/>
      <c r="I87" s="55"/>
      <c r="J87" s="55"/>
      <c r="K87" s="55"/>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row>
    <row r="88" spans="1:247" ht="16.5" customHeight="1">
      <c r="A88" s="59" t="s">
        <v>362</v>
      </c>
      <c r="B88" s="57" t="s">
        <v>363</v>
      </c>
      <c r="C88" s="107">
        <f>+C89+C178+C217+C221+C246+C248</f>
        <v>0</v>
      </c>
      <c r="D88" s="107">
        <f t="shared" ref="D88:H88" si="34">+D89+D178+D217+D221+D246+D248</f>
        <v>374328410</v>
      </c>
      <c r="E88" s="107">
        <f t="shared" si="34"/>
        <v>363918310</v>
      </c>
      <c r="F88" s="107">
        <f t="shared" si="34"/>
        <v>359523670</v>
      </c>
      <c r="G88" s="107">
        <f t="shared" si="34"/>
        <v>277581892.60000002</v>
      </c>
      <c r="H88" s="107">
        <f t="shared" si="34"/>
        <v>52084403.250000007</v>
      </c>
      <c r="I88" s="55"/>
      <c r="J88" s="55"/>
      <c r="K88" s="55"/>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row>
    <row r="89" spans="1:247" s="64" customFormat="1" ht="16.5" customHeight="1">
      <c r="A89" s="52" t="s">
        <v>364</v>
      </c>
      <c r="B89" s="57" t="s">
        <v>365</v>
      </c>
      <c r="C89" s="105">
        <f>+C90+C106+C142+C170+C174</f>
        <v>0</v>
      </c>
      <c r="D89" s="105">
        <f t="shared" ref="D89:H89" si="35">+D90+D106+D142+D170+D174</f>
        <v>132837270</v>
      </c>
      <c r="E89" s="105">
        <f t="shared" si="35"/>
        <v>124889940</v>
      </c>
      <c r="F89" s="105">
        <f t="shared" si="35"/>
        <v>120495300</v>
      </c>
      <c r="G89" s="105">
        <f t="shared" si="35"/>
        <v>116741527.17</v>
      </c>
      <c r="H89" s="105">
        <f t="shared" si="35"/>
        <v>22345610.370000005</v>
      </c>
      <c r="I89" s="55"/>
      <c r="J89" s="55"/>
      <c r="K89" s="55"/>
    </row>
    <row r="90" spans="1:247" s="64" customFormat="1" ht="16.5" customHeight="1">
      <c r="A90" s="59" t="s">
        <v>366</v>
      </c>
      <c r="B90" s="57" t="s">
        <v>367</v>
      </c>
      <c r="C90" s="105">
        <f t="shared" ref="C90:H90" si="36">+C91+C103+C104+C94+C97+C92+C93</f>
        <v>0</v>
      </c>
      <c r="D90" s="105">
        <f t="shared" si="36"/>
        <v>52595160</v>
      </c>
      <c r="E90" s="105">
        <f t="shared" si="36"/>
        <v>52256660</v>
      </c>
      <c r="F90" s="105">
        <f t="shared" si="36"/>
        <v>52256660</v>
      </c>
      <c r="G90" s="105">
        <f t="shared" si="36"/>
        <v>51212730.159999996</v>
      </c>
      <c r="H90" s="105">
        <f t="shared" si="36"/>
        <v>8922896.0600000005</v>
      </c>
      <c r="I90" s="55"/>
      <c r="J90" s="55"/>
      <c r="K90" s="55"/>
    </row>
    <row r="91" spans="1:247" s="64" customFormat="1" ht="16.5" customHeight="1">
      <c r="A91" s="59"/>
      <c r="B91" s="60" t="s">
        <v>368</v>
      </c>
      <c r="C91" s="106"/>
      <c r="D91" s="54">
        <v>46426000</v>
      </c>
      <c r="E91" s="54">
        <v>45159000</v>
      </c>
      <c r="F91" s="54">
        <v>45159000</v>
      </c>
      <c r="G91" s="83">
        <f>22106700+4811530+10616620+7623340</f>
        <v>45158190</v>
      </c>
      <c r="H91" s="83">
        <v>7623340</v>
      </c>
      <c r="I91" s="55"/>
      <c r="J91" s="55"/>
      <c r="K91" s="55"/>
    </row>
    <row r="92" spans="1:247" s="64" customFormat="1" ht="45">
      <c r="A92" s="59"/>
      <c r="B92" s="60" t="s">
        <v>369</v>
      </c>
      <c r="C92" s="106"/>
      <c r="D92" s="54">
        <v>300</v>
      </c>
      <c r="E92" s="54">
        <v>300</v>
      </c>
      <c r="F92" s="54">
        <v>300</v>
      </c>
      <c r="G92" s="83">
        <f>242.16+35.32</f>
        <v>277.48</v>
      </c>
      <c r="H92" s="83">
        <v>35.32</v>
      </c>
      <c r="I92" s="55"/>
      <c r="J92" s="55"/>
      <c r="K92" s="55"/>
    </row>
    <row r="93" spans="1:247" s="64" customFormat="1" ht="60">
      <c r="A93" s="59"/>
      <c r="B93" s="60" t="s">
        <v>370</v>
      </c>
      <c r="C93" s="106"/>
      <c r="D93" s="54">
        <v>300</v>
      </c>
      <c r="E93" s="54">
        <v>300</v>
      </c>
      <c r="F93" s="54">
        <v>300</v>
      </c>
      <c r="G93" s="83">
        <f>273.64+15.24</f>
        <v>288.88</v>
      </c>
      <c r="H93" s="83">
        <v>15.24</v>
      </c>
      <c r="I93" s="55"/>
      <c r="J93" s="55"/>
      <c r="K93" s="55"/>
    </row>
    <row r="94" spans="1:247" s="64" customFormat="1" ht="16.5" customHeight="1">
      <c r="A94" s="59"/>
      <c r="B94" s="60" t="s">
        <v>371</v>
      </c>
      <c r="C94" s="106">
        <f t="shared" ref="C94:H94" si="37">C95+C96</f>
        <v>0</v>
      </c>
      <c r="D94" s="106">
        <f t="shared" si="37"/>
        <v>0</v>
      </c>
      <c r="E94" s="106">
        <f t="shared" ref="E94" si="38">E95+E96</f>
        <v>0</v>
      </c>
      <c r="F94" s="106">
        <f t="shared" ref="F94" si="39">F95+F96</f>
        <v>0</v>
      </c>
      <c r="G94" s="106">
        <f t="shared" si="37"/>
        <v>0</v>
      </c>
      <c r="H94" s="106">
        <f t="shared" si="37"/>
        <v>0</v>
      </c>
      <c r="I94" s="55"/>
      <c r="J94" s="55"/>
      <c r="K94" s="55"/>
    </row>
    <row r="95" spans="1:247" s="64" customFormat="1" ht="16.5" customHeight="1">
      <c r="A95" s="59"/>
      <c r="B95" s="60" t="s">
        <v>372</v>
      </c>
      <c r="C95" s="106"/>
      <c r="D95" s="54"/>
      <c r="E95" s="54"/>
      <c r="F95" s="54"/>
      <c r="G95" s="83"/>
      <c r="H95" s="83"/>
      <c r="I95" s="55"/>
      <c r="J95" s="55"/>
      <c r="K95" s="55"/>
    </row>
    <row r="96" spans="1:247" s="64" customFormat="1" ht="60">
      <c r="A96" s="59"/>
      <c r="B96" s="60" t="s">
        <v>370</v>
      </c>
      <c r="C96" s="106"/>
      <c r="D96" s="54"/>
      <c r="E96" s="54"/>
      <c r="F96" s="54"/>
      <c r="G96" s="83"/>
      <c r="H96" s="83"/>
      <c r="I96" s="55"/>
      <c r="J96" s="55"/>
      <c r="K96" s="55"/>
    </row>
    <row r="97" spans="1:248" s="64" customFormat="1" ht="16.5" customHeight="1">
      <c r="A97" s="59"/>
      <c r="B97" s="71" t="s">
        <v>373</v>
      </c>
      <c r="C97" s="106">
        <f t="shared" ref="C97:G97" si="40">C98+C101+C102</f>
        <v>0</v>
      </c>
      <c r="D97" s="106">
        <f t="shared" si="40"/>
        <v>5061560</v>
      </c>
      <c r="E97" s="106">
        <f t="shared" ref="E97" si="41">E98+E101+E102</f>
        <v>5990060</v>
      </c>
      <c r="F97" s="106">
        <f t="shared" ref="F97" si="42">F98+F101+F102</f>
        <v>5990060</v>
      </c>
      <c r="G97" s="106">
        <f t="shared" si="40"/>
        <v>5164315.12</v>
      </c>
      <c r="H97" s="106">
        <f t="shared" ref="H97" si="43">H98+H101+H102</f>
        <v>962942.62</v>
      </c>
      <c r="I97" s="55"/>
      <c r="J97" s="55"/>
      <c r="K97" s="55"/>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row>
    <row r="98" spans="1:248" s="64" customFormat="1" ht="30">
      <c r="A98" s="59"/>
      <c r="B98" s="60" t="s">
        <v>374</v>
      </c>
      <c r="C98" s="106">
        <f t="shared" ref="C98:G98" si="44">C99+C100</f>
        <v>0</v>
      </c>
      <c r="D98" s="106">
        <f t="shared" si="44"/>
        <v>4906930</v>
      </c>
      <c r="E98" s="106">
        <f t="shared" ref="E98" si="45">E99+E100</f>
        <v>5827000</v>
      </c>
      <c r="F98" s="106">
        <f t="shared" ref="F98" si="46">F99+F100</f>
        <v>5827000</v>
      </c>
      <c r="G98" s="106">
        <f t="shared" si="44"/>
        <v>5025080</v>
      </c>
      <c r="H98" s="106">
        <f t="shared" ref="H98" si="47">H99+H100</f>
        <v>920490</v>
      </c>
      <c r="I98" s="55"/>
      <c r="J98" s="55"/>
      <c r="K98" s="55"/>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c r="IM98" s="39"/>
    </row>
    <row r="99" spans="1:248">
      <c r="A99" s="59"/>
      <c r="B99" s="60" t="s">
        <v>372</v>
      </c>
      <c r="C99" s="106"/>
      <c r="D99" s="54">
        <v>4906930</v>
      </c>
      <c r="E99" s="54">
        <v>5827000</v>
      </c>
      <c r="F99" s="54">
        <v>5827000</v>
      </c>
      <c r="G99" s="83">
        <f>2320318.57+863736.04+920535.39+920490</f>
        <v>5025080</v>
      </c>
      <c r="H99" s="83">
        <v>920490</v>
      </c>
      <c r="I99" s="55"/>
      <c r="J99" s="55"/>
      <c r="K99" s="55"/>
      <c r="L99" s="64"/>
      <c r="IN99" s="64"/>
    </row>
    <row r="100" spans="1:248" ht="60">
      <c r="A100" s="59"/>
      <c r="B100" s="60" t="s">
        <v>370</v>
      </c>
      <c r="C100" s="106"/>
      <c r="D100" s="54"/>
      <c r="E100" s="54"/>
      <c r="F100" s="54"/>
      <c r="G100" s="83"/>
      <c r="H100" s="83"/>
      <c r="I100" s="55"/>
      <c r="J100" s="55"/>
      <c r="K100" s="55"/>
      <c r="L100" s="64"/>
      <c r="IN100" s="64"/>
    </row>
    <row r="101" spans="1:248" ht="60">
      <c r="A101" s="59"/>
      <c r="B101" s="60" t="s">
        <v>375</v>
      </c>
      <c r="C101" s="106"/>
      <c r="D101" s="54">
        <v>86640</v>
      </c>
      <c r="E101" s="54">
        <v>91000</v>
      </c>
      <c r="F101" s="54">
        <v>91000</v>
      </c>
      <c r="G101" s="83">
        <f>29938.99+15190.41+15883.1+16525.3</f>
        <v>77537.8</v>
      </c>
      <c r="H101" s="83">
        <v>16525.3</v>
      </c>
      <c r="I101" s="55"/>
      <c r="J101" s="55"/>
      <c r="K101" s="55"/>
      <c r="L101" s="64"/>
      <c r="IN101" s="64"/>
    </row>
    <row r="102" spans="1:248" ht="45">
      <c r="A102" s="59"/>
      <c r="B102" s="60" t="s">
        <v>376</v>
      </c>
      <c r="C102" s="106"/>
      <c r="D102" s="54">
        <v>67990</v>
      </c>
      <c r="E102" s="54">
        <v>72060</v>
      </c>
      <c r="F102" s="54">
        <v>72060</v>
      </c>
      <c r="G102" s="83">
        <f>23979.03+11790.97+25927.32</f>
        <v>61697.32</v>
      </c>
      <c r="H102" s="83">
        <v>25927.32</v>
      </c>
      <c r="I102" s="55"/>
      <c r="J102" s="55"/>
      <c r="K102" s="55"/>
      <c r="L102" s="64"/>
      <c r="IN102" s="64"/>
    </row>
    <row r="103" spans="1:248" s="56" customFormat="1" ht="16.5" customHeight="1">
      <c r="A103" s="59"/>
      <c r="B103" s="60" t="s">
        <v>377</v>
      </c>
      <c r="C103" s="106"/>
      <c r="D103" s="54">
        <v>126000</v>
      </c>
      <c r="E103" s="54">
        <v>126000</v>
      </c>
      <c r="F103" s="54">
        <v>126000</v>
      </c>
      <c r="G103" s="83">
        <f>41167.23+22832.77+21855.8+21281.05</f>
        <v>107136.85</v>
      </c>
      <c r="H103" s="83">
        <v>21281.05</v>
      </c>
      <c r="I103" s="55"/>
      <c r="J103" s="55"/>
      <c r="K103" s="55"/>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64"/>
    </row>
    <row r="104" spans="1:248" ht="45">
      <c r="A104" s="59"/>
      <c r="B104" s="60" t="s">
        <v>378</v>
      </c>
      <c r="C104" s="106"/>
      <c r="D104" s="54">
        <v>981000</v>
      </c>
      <c r="E104" s="54">
        <v>981000</v>
      </c>
      <c r="F104" s="54">
        <v>981000</v>
      </c>
      <c r="G104" s="83">
        <f>319875.29+147364.71+315281.83</f>
        <v>782521.83000000007</v>
      </c>
      <c r="H104" s="83">
        <v>315281.83</v>
      </c>
      <c r="I104" s="55"/>
      <c r="J104" s="55"/>
      <c r="K104" s="55"/>
      <c r="IN104" s="64"/>
    </row>
    <row r="105" spans="1:248">
      <c r="A105" s="59"/>
      <c r="B105" s="62" t="s">
        <v>361</v>
      </c>
      <c r="C105" s="106"/>
      <c r="D105" s="54"/>
      <c r="E105" s="54"/>
      <c r="F105" s="54"/>
      <c r="G105" s="83"/>
      <c r="H105" s="83"/>
      <c r="I105" s="55"/>
      <c r="J105" s="55"/>
      <c r="K105" s="55"/>
    </row>
    <row r="106" spans="1:248" ht="30">
      <c r="A106" s="112" t="s">
        <v>379</v>
      </c>
      <c r="B106" s="57" t="s">
        <v>380</v>
      </c>
      <c r="C106" s="106">
        <f t="shared" ref="C106:H106" si="48">C107+C110+C113+C116+C119+C122+C128+C125+C131</f>
        <v>0</v>
      </c>
      <c r="D106" s="106">
        <f t="shared" si="48"/>
        <v>57201430</v>
      </c>
      <c r="E106" s="106">
        <f t="shared" si="48"/>
        <v>49838460</v>
      </c>
      <c r="F106" s="106">
        <f t="shared" si="48"/>
        <v>49838460</v>
      </c>
      <c r="G106" s="106">
        <f t="shared" si="48"/>
        <v>49835186.950000003</v>
      </c>
      <c r="H106" s="106">
        <f t="shared" si="48"/>
        <v>10372852.369999999</v>
      </c>
      <c r="I106" s="55"/>
      <c r="J106" s="55"/>
      <c r="K106" s="55"/>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c r="ER106" s="56"/>
      <c r="ES106" s="56"/>
      <c r="ET106" s="56"/>
      <c r="EU106" s="56"/>
      <c r="EV106" s="56"/>
      <c r="EW106" s="56"/>
      <c r="EX106" s="56"/>
      <c r="EY106" s="56"/>
      <c r="EZ106" s="56"/>
      <c r="FA106" s="56"/>
      <c r="FB106" s="56"/>
      <c r="FC106" s="56"/>
      <c r="FD106" s="56"/>
      <c r="FE106" s="56"/>
      <c r="FF106" s="56"/>
      <c r="FG106" s="56"/>
      <c r="FH106" s="56"/>
      <c r="FI106" s="56"/>
      <c r="FJ106" s="56"/>
      <c r="FK106" s="56"/>
      <c r="FL106" s="56"/>
      <c r="FM106" s="56"/>
      <c r="FN106" s="56"/>
      <c r="FO106" s="56"/>
      <c r="FP106" s="56"/>
      <c r="FQ106" s="56"/>
      <c r="FR106" s="56"/>
      <c r="FS106" s="56"/>
      <c r="FT106" s="56"/>
      <c r="FU106" s="56"/>
      <c r="FV106" s="56"/>
      <c r="FW106" s="56"/>
      <c r="FX106" s="56"/>
      <c r="FY106" s="56"/>
      <c r="FZ106" s="56"/>
      <c r="GA106" s="56"/>
      <c r="GB106" s="56"/>
      <c r="GC106" s="56"/>
      <c r="GD106" s="56"/>
      <c r="GE106" s="56"/>
      <c r="GF106" s="56"/>
      <c r="GG106" s="56"/>
      <c r="GH106" s="56"/>
      <c r="GI106" s="56"/>
      <c r="GJ106" s="56"/>
      <c r="GK106" s="56"/>
      <c r="GL106" s="56"/>
      <c r="GM106" s="56"/>
      <c r="GN106" s="56"/>
      <c r="GO106" s="56"/>
      <c r="GP106" s="56"/>
      <c r="GQ106" s="56"/>
      <c r="GR106" s="56"/>
      <c r="GS106" s="56"/>
      <c r="GT106" s="56"/>
      <c r="GU106" s="56"/>
      <c r="GV106" s="56"/>
      <c r="GW106" s="56"/>
      <c r="GX106" s="56"/>
      <c r="GY106" s="56"/>
      <c r="GZ106" s="56"/>
      <c r="HA106" s="56"/>
      <c r="HB106" s="56"/>
      <c r="HC106" s="56"/>
      <c r="HD106" s="56"/>
      <c r="HE106" s="56"/>
      <c r="HF106" s="56"/>
      <c r="HG106" s="56"/>
      <c r="HH106" s="56"/>
      <c r="HI106" s="56"/>
      <c r="HJ106" s="56"/>
      <c r="HK106" s="56"/>
      <c r="HL106" s="56"/>
      <c r="HM106" s="56"/>
      <c r="HN106" s="56"/>
      <c r="HO106" s="56"/>
      <c r="HP106" s="56"/>
      <c r="HQ106" s="56"/>
      <c r="HR106" s="56"/>
      <c r="HS106" s="56"/>
      <c r="HT106" s="56"/>
      <c r="HU106" s="56"/>
      <c r="HV106" s="56"/>
      <c r="HW106" s="56"/>
      <c r="HX106" s="56"/>
      <c r="HY106" s="56"/>
      <c r="HZ106" s="56"/>
      <c r="IA106" s="56"/>
      <c r="IB106" s="56"/>
      <c r="IC106" s="56"/>
      <c r="ID106" s="56"/>
      <c r="IE106" s="56"/>
      <c r="IF106" s="56"/>
      <c r="IG106" s="56"/>
      <c r="IH106" s="56"/>
      <c r="II106" s="56"/>
      <c r="IJ106" s="56"/>
      <c r="IK106" s="56"/>
      <c r="IL106" s="56"/>
      <c r="IM106" s="56"/>
    </row>
    <row r="107" spans="1:248" ht="16.5" customHeight="1">
      <c r="A107" s="59"/>
      <c r="B107" s="60" t="s">
        <v>381</v>
      </c>
      <c r="C107" s="106">
        <f t="shared" ref="C107:H107" si="49">C108+C109</f>
        <v>0</v>
      </c>
      <c r="D107" s="106">
        <f t="shared" si="49"/>
        <v>1632260</v>
      </c>
      <c r="E107" s="106">
        <f t="shared" ref="E107" si="50">E108+E109</f>
        <v>678610</v>
      </c>
      <c r="F107" s="106">
        <f t="shared" ref="F107" si="51">F108+F109</f>
        <v>678610</v>
      </c>
      <c r="G107" s="106">
        <f t="shared" si="49"/>
        <v>678334.87</v>
      </c>
      <c r="H107" s="106">
        <f t="shared" si="49"/>
        <v>188427.67</v>
      </c>
      <c r="I107" s="55"/>
      <c r="J107" s="55"/>
      <c r="K107" s="55"/>
      <c r="L107" s="56"/>
    </row>
    <row r="108" spans="1:248">
      <c r="A108" s="59"/>
      <c r="B108" s="60" t="s">
        <v>368</v>
      </c>
      <c r="C108" s="106"/>
      <c r="D108" s="54">
        <v>1632260</v>
      </c>
      <c r="E108" s="54">
        <v>678610</v>
      </c>
      <c r="F108" s="54">
        <v>678610</v>
      </c>
      <c r="G108" s="83">
        <f>227552.71+91057.29+171297.2+188427.67</f>
        <v>678334.87</v>
      </c>
      <c r="H108" s="83">
        <v>188427.67</v>
      </c>
      <c r="I108" s="55"/>
      <c r="J108" s="55"/>
      <c r="K108" s="55"/>
      <c r="L108" s="56"/>
    </row>
    <row r="109" spans="1:248" ht="60">
      <c r="A109" s="59"/>
      <c r="B109" s="60" t="s">
        <v>370</v>
      </c>
      <c r="C109" s="106"/>
      <c r="D109" s="54"/>
      <c r="E109" s="54"/>
      <c r="F109" s="54"/>
      <c r="G109" s="83"/>
      <c r="H109" s="83"/>
      <c r="I109" s="55"/>
      <c r="J109" s="55"/>
      <c r="K109" s="55"/>
      <c r="L109" s="56"/>
    </row>
    <row r="110" spans="1:248" ht="16.5" customHeight="1">
      <c r="A110" s="59"/>
      <c r="B110" s="60" t="s">
        <v>382</v>
      </c>
      <c r="C110" s="106">
        <f t="shared" ref="C110:H110" si="52">C111+C112</f>
        <v>0</v>
      </c>
      <c r="D110" s="106">
        <f t="shared" si="52"/>
        <v>0</v>
      </c>
      <c r="E110" s="106">
        <f t="shared" ref="E110" si="53">E111+E112</f>
        <v>0</v>
      </c>
      <c r="F110" s="106">
        <f t="shared" ref="F110" si="54">F111+F112</f>
        <v>0</v>
      </c>
      <c r="G110" s="106">
        <f t="shared" si="52"/>
        <v>0</v>
      </c>
      <c r="H110" s="106">
        <f t="shared" si="52"/>
        <v>0</v>
      </c>
      <c r="I110" s="55"/>
      <c r="J110" s="55"/>
      <c r="K110" s="55"/>
    </row>
    <row r="111" spans="1:248">
      <c r="A111" s="59"/>
      <c r="B111" s="60" t="s">
        <v>368</v>
      </c>
      <c r="C111" s="106"/>
      <c r="D111" s="54"/>
      <c r="E111" s="54"/>
      <c r="F111" s="54"/>
      <c r="G111" s="83"/>
      <c r="H111" s="83"/>
      <c r="I111" s="55"/>
      <c r="J111" s="55"/>
      <c r="K111" s="55"/>
    </row>
    <row r="112" spans="1:248" ht="60">
      <c r="A112" s="59"/>
      <c r="B112" s="60" t="s">
        <v>370</v>
      </c>
      <c r="C112" s="106"/>
      <c r="D112" s="54"/>
      <c r="E112" s="54"/>
      <c r="F112" s="54"/>
      <c r="G112" s="83"/>
      <c r="H112" s="83"/>
      <c r="I112" s="55"/>
      <c r="J112" s="55"/>
      <c r="K112" s="55"/>
    </row>
    <row r="113" spans="1:248">
      <c r="A113" s="59"/>
      <c r="B113" s="60" t="s">
        <v>383</v>
      </c>
      <c r="C113" s="106">
        <f t="shared" ref="C113:H113" si="55">C114+C115</f>
        <v>0</v>
      </c>
      <c r="D113" s="106">
        <f t="shared" si="55"/>
        <v>42430</v>
      </c>
      <c r="E113" s="106">
        <f t="shared" ref="E113" si="56">E114+E115</f>
        <v>46900</v>
      </c>
      <c r="F113" s="106">
        <f t="shared" ref="F113" si="57">F114+F115</f>
        <v>46900</v>
      </c>
      <c r="G113" s="106">
        <f t="shared" si="55"/>
        <v>45924.76</v>
      </c>
      <c r="H113" s="106">
        <f t="shared" si="55"/>
        <v>4028.14</v>
      </c>
      <c r="I113" s="55"/>
      <c r="J113" s="55"/>
      <c r="K113" s="55"/>
      <c r="IN113" s="56"/>
    </row>
    <row r="114" spans="1:248">
      <c r="A114" s="59"/>
      <c r="B114" s="60" t="s">
        <v>368</v>
      </c>
      <c r="C114" s="106"/>
      <c r="D114" s="54">
        <v>42430</v>
      </c>
      <c r="E114" s="54">
        <v>46900</v>
      </c>
      <c r="F114" s="54">
        <v>46900</v>
      </c>
      <c r="G114" s="83">
        <f>13828.63+28067.99+4028.14</f>
        <v>45924.76</v>
      </c>
      <c r="H114" s="83">
        <v>4028.14</v>
      </c>
      <c r="I114" s="55"/>
      <c r="J114" s="55"/>
      <c r="K114" s="55"/>
      <c r="IN114" s="56"/>
    </row>
    <row r="115" spans="1:248" ht="60">
      <c r="A115" s="59"/>
      <c r="B115" s="60" t="s">
        <v>370</v>
      </c>
      <c r="C115" s="106"/>
      <c r="D115" s="54"/>
      <c r="E115" s="54"/>
      <c r="F115" s="54"/>
      <c r="G115" s="83"/>
      <c r="H115" s="83"/>
      <c r="I115" s="55"/>
      <c r="J115" s="55"/>
      <c r="K115" s="55"/>
      <c r="IN115" s="56"/>
    </row>
    <row r="116" spans="1:248" ht="36" customHeight="1">
      <c r="A116" s="52"/>
      <c r="B116" s="60" t="s">
        <v>384</v>
      </c>
      <c r="C116" s="106">
        <f t="shared" ref="C116:H116" si="58">C117+C118</f>
        <v>0</v>
      </c>
      <c r="D116" s="106">
        <f t="shared" si="58"/>
        <v>26410020</v>
      </c>
      <c r="E116" s="106">
        <f t="shared" ref="E116" si="59">E117+E118</f>
        <v>23761340</v>
      </c>
      <c r="F116" s="106">
        <f t="shared" ref="F116" si="60">F117+F118</f>
        <v>23761340</v>
      </c>
      <c r="G116" s="106">
        <f t="shared" si="58"/>
        <v>23760918.940000001</v>
      </c>
      <c r="H116" s="106">
        <f t="shared" si="58"/>
        <v>5892388.9400000004</v>
      </c>
      <c r="I116" s="55"/>
      <c r="J116" s="55"/>
      <c r="K116" s="55"/>
    </row>
    <row r="117" spans="1:248">
      <c r="A117" s="59"/>
      <c r="B117" s="60" t="s">
        <v>368</v>
      </c>
      <c r="C117" s="106"/>
      <c r="D117" s="54">
        <v>26410020</v>
      </c>
      <c r="E117" s="54">
        <v>23761340</v>
      </c>
      <c r="F117" s="54">
        <v>23761340</v>
      </c>
      <c r="G117" s="83">
        <f>11564057.36+2522282.64+3782190+5892388.94</f>
        <v>23760918.940000001</v>
      </c>
      <c r="H117" s="83">
        <v>5892388.9400000004</v>
      </c>
      <c r="I117" s="55"/>
      <c r="J117" s="55"/>
      <c r="K117" s="55"/>
    </row>
    <row r="118" spans="1:248" ht="60">
      <c r="A118" s="59"/>
      <c r="B118" s="60" t="s">
        <v>370</v>
      </c>
      <c r="C118" s="106"/>
      <c r="D118" s="54"/>
      <c r="E118" s="54"/>
      <c r="F118" s="54"/>
      <c r="G118" s="83"/>
      <c r="H118" s="83"/>
      <c r="I118" s="55"/>
      <c r="J118" s="55"/>
      <c r="K118" s="55"/>
    </row>
    <row r="119" spans="1:248" ht="16.5" customHeight="1">
      <c r="A119" s="59"/>
      <c r="B119" s="72" t="s">
        <v>385</v>
      </c>
      <c r="C119" s="106">
        <f t="shared" ref="C119:H119" si="61">C120+C121</f>
        <v>0</v>
      </c>
      <c r="D119" s="106">
        <f t="shared" si="61"/>
        <v>25110</v>
      </c>
      <c r="E119" s="106">
        <f t="shared" ref="E119" si="62">E120+E121</f>
        <v>31670</v>
      </c>
      <c r="F119" s="106">
        <f t="shared" ref="F119" si="63">F120+F121</f>
        <v>31670</v>
      </c>
      <c r="G119" s="106">
        <f t="shared" si="61"/>
        <v>31490.710000000003</v>
      </c>
      <c r="H119" s="106">
        <f t="shared" si="61"/>
        <v>5289.88</v>
      </c>
      <c r="I119" s="55"/>
      <c r="J119" s="55"/>
      <c r="K119" s="55"/>
    </row>
    <row r="120" spans="1:248">
      <c r="A120" s="59"/>
      <c r="B120" s="72" t="s">
        <v>368</v>
      </c>
      <c r="C120" s="106"/>
      <c r="D120" s="54">
        <v>25110</v>
      </c>
      <c r="E120" s="54">
        <v>31670</v>
      </c>
      <c r="F120" s="54">
        <v>31670</v>
      </c>
      <c r="G120" s="83">
        <f>14313.28+7351.08+4536.47+5289.88</f>
        <v>31490.710000000003</v>
      </c>
      <c r="H120" s="83">
        <v>5289.88</v>
      </c>
      <c r="I120" s="55"/>
      <c r="J120" s="55"/>
      <c r="K120" s="55"/>
    </row>
    <row r="121" spans="1:248" ht="60">
      <c r="A121" s="59"/>
      <c r="B121" s="72" t="s">
        <v>370</v>
      </c>
      <c r="C121" s="106"/>
      <c r="D121" s="54"/>
      <c r="E121" s="54"/>
      <c r="F121" s="54"/>
      <c r="G121" s="83"/>
      <c r="H121" s="83"/>
      <c r="I121" s="55"/>
      <c r="J121" s="55"/>
      <c r="K121" s="55"/>
    </row>
    <row r="122" spans="1:248" ht="30">
      <c r="A122" s="59"/>
      <c r="B122" s="60" t="s">
        <v>386</v>
      </c>
      <c r="C122" s="106">
        <f t="shared" ref="C122:H122" si="64">C123+C124</f>
        <v>0</v>
      </c>
      <c r="D122" s="106">
        <f t="shared" si="64"/>
        <v>165420</v>
      </c>
      <c r="E122" s="106">
        <f t="shared" ref="E122" si="65">E123+E124</f>
        <v>152570</v>
      </c>
      <c r="F122" s="106">
        <f t="shared" ref="F122" si="66">F123+F124</f>
        <v>152570</v>
      </c>
      <c r="G122" s="106">
        <f t="shared" si="64"/>
        <v>152251.37</v>
      </c>
      <c r="H122" s="106">
        <f t="shared" si="64"/>
        <v>23016.01</v>
      </c>
      <c r="I122" s="55"/>
      <c r="J122" s="55"/>
      <c r="K122" s="55"/>
    </row>
    <row r="123" spans="1:248" ht="16.5" customHeight="1">
      <c r="A123" s="59"/>
      <c r="B123" s="60" t="s">
        <v>368</v>
      </c>
      <c r="C123" s="106"/>
      <c r="D123" s="54">
        <v>165420</v>
      </c>
      <c r="E123" s="54">
        <v>152570</v>
      </c>
      <c r="F123" s="54">
        <v>152570</v>
      </c>
      <c r="G123" s="83">
        <f>79604.78+27955.43+21675.15+23016.01</f>
        <v>152251.37</v>
      </c>
      <c r="H123" s="83">
        <v>23016.01</v>
      </c>
      <c r="I123" s="55"/>
      <c r="J123" s="55"/>
      <c r="K123" s="55"/>
    </row>
    <row r="124" spans="1:248" ht="60">
      <c r="A124" s="59"/>
      <c r="B124" s="60" t="s">
        <v>370</v>
      </c>
      <c r="C124" s="106"/>
      <c r="D124" s="54"/>
      <c r="E124" s="54"/>
      <c r="F124" s="54"/>
      <c r="G124" s="83"/>
      <c r="H124" s="83"/>
      <c r="I124" s="55"/>
      <c r="J124" s="55"/>
      <c r="K124" s="55"/>
    </row>
    <row r="125" spans="1:248" s="56" customFormat="1">
      <c r="A125" s="59"/>
      <c r="B125" s="73" t="s">
        <v>387</v>
      </c>
      <c r="C125" s="106">
        <f t="shared" ref="C125:H125" si="67">C126+C127</f>
        <v>0</v>
      </c>
      <c r="D125" s="106">
        <f t="shared" si="67"/>
        <v>0</v>
      </c>
      <c r="E125" s="106">
        <f t="shared" ref="E125" si="68">E126+E127</f>
        <v>0</v>
      </c>
      <c r="F125" s="106">
        <f t="shared" ref="F125" si="69">F126+F127</f>
        <v>0</v>
      </c>
      <c r="G125" s="106">
        <f t="shared" si="67"/>
        <v>0</v>
      </c>
      <c r="H125" s="106">
        <f t="shared" si="67"/>
        <v>0</v>
      </c>
      <c r="I125" s="55"/>
      <c r="J125" s="55"/>
      <c r="K125" s="55"/>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c r="IK125" s="39"/>
      <c r="IL125" s="39"/>
      <c r="IM125" s="39"/>
      <c r="IN125" s="39"/>
    </row>
    <row r="126" spans="1:248" s="56" customFormat="1">
      <c r="A126" s="59"/>
      <c r="B126" s="73" t="s">
        <v>368</v>
      </c>
      <c r="C126" s="106"/>
      <c r="D126" s="54"/>
      <c r="E126" s="54"/>
      <c r="F126" s="54"/>
      <c r="G126" s="83"/>
      <c r="H126" s="83"/>
      <c r="I126" s="55"/>
      <c r="J126" s="55"/>
      <c r="K126" s="55"/>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c r="IM126" s="39"/>
      <c r="IN126" s="39"/>
    </row>
    <row r="127" spans="1:248" s="56" customFormat="1" ht="60">
      <c r="A127" s="59"/>
      <c r="B127" s="73" t="s">
        <v>370</v>
      </c>
      <c r="C127" s="106"/>
      <c r="D127" s="54"/>
      <c r="E127" s="54"/>
      <c r="F127" s="54"/>
      <c r="G127" s="83"/>
      <c r="H127" s="83"/>
      <c r="I127" s="55"/>
      <c r="J127" s="55"/>
      <c r="K127" s="55"/>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c r="IK127" s="39"/>
      <c r="IL127" s="39"/>
      <c r="IM127" s="39"/>
      <c r="IN127" s="39"/>
    </row>
    <row r="128" spans="1:248" s="56" customFormat="1">
      <c r="A128" s="59"/>
      <c r="B128" s="73" t="s">
        <v>388</v>
      </c>
      <c r="C128" s="106">
        <f t="shared" ref="C128:H128" si="70">C129+C130</f>
        <v>0</v>
      </c>
      <c r="D128" s="106">
        <f t="shared" si="70"/>
        <v>18732840</v>
      </c>
      <c r="E128" s="106">
        <f t="shared" ref="E128" si="71">E129+E130</f>
        <v>15094670</v>
      </c>
      <c r="F128" s="106">
        <f t="shared" ref="F128" si="72">F129+F130</f>
        <v>15094670</v>
      </c>
      <c r="G128" s="106">
        <f t="shared" si="70"/>
        <v>15094598.560000001</v>
      </c>
      <c r="H128" s="106">
        <f t="shared" si="70"/>
        <v>2634643.9900000002</v>
      </c>
      <c r="I128" s="55"/>
      <c r="J128" s="55"/>
      <c r="K128" s="55"/>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c r="IK128" s="39"/>
      <c r="IL128" s="39"/>
      <c r="IM128" s="39"/>
      <c r="IN128" s="39"/>
    </row>
    <row r="129" spans="1:248" s="56" customFormat="1">
      <c r="A129" s="59"/>
      <c r="B129" s="73" t="s">
        <v>368</v>
      </c>
      <c r="C129" s="106"/>
      <c r="D129" s="54">
        <v>18732840</v>
      </c>
      <c r="E129" s="54">
        <v>15094670</v>
      </c>
      <c r="F129" s="54">
        <v>15094670</v>
      </c>
      <c r="G129" s="116">
        <f>7269323.55+2812343.94+2378287.08+2634643.99</f>
        <v>15094598.560000001</v>
      </c>
      <c r="H129" s="116">
        <v>2634643.9900000002</v>
      </c>
      <c r="I129" s="55"/>
      <c r="J129" s="55"/>
      <c r="K129" s="55"/>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c r="IL129" s="39"/>
      <c r="IM129" s="39"/>
      <c r="IN129" s="39"/>
    </row>
    <row r="130" spans="1:248" s="56" customFormat="1" ht="60">
      <c r="A130" s="59"/>
      <c r="B130" s="73" t="s">
        <v>370</v>
      </c>
      <c r="C130" s="106"/>
      <c r="D130" s="54"/>
      <c r="E130" s="54"/>
      <c r="F130" s="54"/>
      <c r="G130" s="116"/>
      <c r="H130" s="116"/>
      <c r="I130" s="55"/>
      <c r="J130" s="55"/>
      <c r="K130" s="55"/>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row>
    <row r="131" spans="1:248" s="56" customFormat="1" ht="30">
      <c r="A131" s="59"/>
      <c r="B131" s="74" t="s">
        <v>389</v>
      </c>
      <c r="C131" s="106">
        <f t="shared" ref="C131:H131" si="73">C132+C135+C138+C136+C137</f>
        <v>0</v>
      </c>
      <c r="D131" s="106">
        <f t="shared" si="73"/>
        <v>10193350</v>
      </c>
      <c r="E131" s="106">
        <f t="shared" ref="E131" si="74">E132+E135+E138+E136+E137</f>
        <v>10072700</v>
      </c>
      <c r="F131" s="106">
        <f t="shared" ref="F131" si="75">F132+F135+F138+F136+F137</f>
        <v>10072700</v>
      </c>
      <c r="G131" s="106">
        <f t="shared" si="73"/>
        <v>10071667.74</v>
      </c>
      <c r="H131" s="106">
        <f t="shared" si="73"/>
        <v>1625057.74</v>
      </c>
      <c r="I131" s="55"/>
      <c r="J131" s="55"/>
      <c r="K131" s="55"/>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row>
    <row r="132" spans="1:248" s="56" customFormat="1" ht="30">
      <c r="A132" s="59"/>
      <c r="B132" s="73" t="s">
        <v>390</v>
      </c>
      <c r="C132" s="106">
        <f t="shared" ref="C132:H132" si="76">C133+C134</f>
        <v>0</v>
      </c>
      <c r="D132" s="106">
        <f t="shared" si="76"/>
        <v>10193350</v>
      </c>
      <c r="E132" s="106">
        <f t="shared" ref="E132" si="77">E133+E134</f>
        <v>10072700</v>
      </c>
      <c r="F132" s="106">
        <f t="shared" ref="F132" si="78">F133+F134</f>
        <v>10072700</v>
      </c>
      <c r="G132" s="106">
        <f t="shared" si="76"/>
        <v>10071667.74</v>
      </c>
      <c r="H132" s="106">
        <f t="shared" si="76"/>
        <v>1625057.74</v>
      </c>
      <c r="I132" s="55"/>
      <c r="J132" s="55"/>
      <c r="K132" s="55"/>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c r="IM132" s="39"/>
      <c r="IN132" s="39"/>
    </row>
    <row r="133" spans="1:248" s="56" customFormat="1" ht="16.5" customHeight="1">
      <c r="A133" s="59"/>
      <c r="B133" s="73" t="s">
        <v>368</v>
      </c>
      <c r="C133" s="106"/>
      <c r="D133" s="54">
        <v>10193350</v>
      </c>
      <c r="E133" s="54">
        <v>10072700</v>
      </c>
      <c r="F133" s="54">
        <v>10072700</v>
      </c>
      <c r="G133" s="83">
        <f>4945759.27+1729940.73+1770910+1625057.74</f>
        <v>10071667.74</v>
      </c>
      <c r="H133" s="83">
        <v>1625057.74</v>
      </c>
      <c r="I133" s="55"/>
      <c r="J133" s="55"/>
      <c r="K133" s="55"/>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row>
    <row r="134" spans="1:248" s="56" customFormat="1" ht="60">
      <c r="A134" s="59"/>
      <c r="B134" s="73" t="s">
        <v>370</v>
      </c>
      <c r="C134" s="106"/>
      <c r="D134" s="54"/>
      <c r="E134" s="54"/>
      <c r="F134" s="54"/>
      <c r="G134" s="83"/>
      <c r="H134" s="83"/>
      <c r="I134" s="55"/>
      <c r="J134" s="55"/>
      <c r="K134" s="55"/>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c r="IM134" s="39"/>
      <c r="IN134" s="39"/>
    </row>
    <row r="135" spans="1:248" s="56" customFormat="1" ht="16.5" customHeight="1">
      <c r="A135" s="59"/>
      <c r="B135" s="73" t="s">
        <v>391</v>
      </c>
      <c r="C135" s="106"/>
      <c r="D135" s="54"/>
      <c r="E135" s="54"/>
      <c r="F135" s="54"/>
      <c r="G135" s="83"/>
      <c r="H135" s="83"/>
      <c r="I135" s="55"/>
      <c r="J135" s="55"/>
      <c r="K135" s="55"/>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c r="IK135" s="39"/>
      <c r="IL135" s="39"/>
      <c r="IM135" s="39"/>
      <c r="IN135" s="39"/>
    </row>
    <row r="136" spans="1:248" ht="30">
      <c r="A136" s="52"/>
      <c r="B136" s="73" t="s">
        <v>392</v>
      </c>
      <c r="C136" s="106"/>
      <c r="D136" s="54"/>
      <c r="E136" s="54"/>
      <c r="F136" s="54"/>
      <c r="G136" s="83"/>
      <c r="H136" s="83"/>
      <c r="I136" s="55"/>
      <c r="J136" s="55"/>
      <c r="K136" s="55"/>
    </row>
    <row r="137" spans="1:248" ht="16.5" customHeight="1">
      <c r="A137" s="52"/>
      <c r="B137" s="73" t="s">
        <v>393</v>
      </c>
      <c r="C137" s="106"/>
      <c r="D137" s="54"/>
      <c r="E137" s="54"/>
      <c r="F137" s="54"/>
      <c r="G137" s="83"/>
      <c r="H137" s="83"/>
      <c r="I137" s="55"/>
      <c r="J137" s="55"/>
      <c r="K137" s="55"/>
    </row>
    <row r="138" spans="1:248" s="56" customFormat="1" ht="16.5" customHeight="1">
      <c r="A138" s="59"/>
      <c r="B138" s="73" t="s">
        <v>394</v>
      </c>
      <c r="C138" s="106">
        <f>C139+C140</f>
        <v>0</v>
      </c>
      <c r="D138" s="106">
        <f t="shared" ref="D138:H138" si="79">D139+D140</f>
        <v>0</v>
      </c>
      <c r="E138" s="106">
        <f t="shared" ref="E138" si="80">E139+E140</f>
        <v>0</v>
      </c>
      <c r="F138" s="106">
        <f t="shared" ref="F138" si="81">F139+F140</f>
        <v>0</v>
      </c>
      <c r="G138" s="106">
        <f t="shared" si="79"/>
        <v>0</v>
      </c>
      <c r="H138" s="106">
        <f t="shared" si="79"/>
        <v>0</v>
      </c>
      <c r="I138" s="55"/>
      <c r="J138" s="55"/>
      <c r="K138" s="55"/>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c r="HJ138" s="39"/>
      <c r="HK138" s="39"/>
      <c r="HL138" s="39"/>
      <c r="HM138" s="39"/>
      <c r="HN138" s="39"/>
      <c r="HO138" s="39"/>
      <c r="HP138" s="39"/>
      <c r="HQ138" s="39"/>
      <c r="HR138" s="39"/>
      <c r="HS138" s="39"/>
      <c r="HT138" s="39"/>
      <c r="HU138" s="39"/>
      <c r="HV138" s="39"/>
      <c r="HW138" s="39"/>
      <c r="HX138" s="39"/>
      <c r="HY138" s="39"/>
      <c r="HZ138" s="39"/>
      <c r="IA138" s="39"/>
      <c r="IB138" s="39"/>
      <c r="IC138" s="39"/>
      <c r="ID138" s="39"/>
      <c r="IE138" s="39"/>
      <c r="IF138" s="39"/>
      <c r="IG138" s="39"/>
      <c r="IH138" s="39"/>
      <c r="II138" s="39"/>
      <c r="IJ138" s="39"/>
      <c r="IK138" s="39"/>
      <c r="IL138" s="39"/>
      <c r="IM138" s="39"/>
      <c r="IN138" s="39"/>
    </row>
    <row r="139" spans="1:248" s="56" customFormat="1" ht="16.5" customHeight="1">
      <c r="A139" s="59"/>
      <c r="B139" s="73" t="s">
        <v>368</v>
      </c>
      <c r="C139" s="106"/>
      <c r="D139" s="54"/>
      <c r="E139" s="54"/>
      <c r="F139" s="54"/>
      <c r="G139" s="83"/>
      <c r="H139" s="83"/>
      <c r="I139" s="55"/>
      <c r="J139" s="55"/>
      <c r="K139" s="55"/>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c r="ID139" s="39"/>
      <c r="IE139" s="39"/>
      <c r="IF139" s="39"/>
      <c r="IG139" s="39"/>
      <c r="IH139" s="39"/>
      <c r="II139" s="39"/>
      <c r="IJ139" s="39"/>
      <c r="IK139" s="39"/>
      <c r="IL139" s="39"/>
      <c r="IM139" s="39"/>
      <c r="IN139" s="39"/>
    </row>
    <row r="140" spans="1:248" s="56" customFormat="1" ht="60">
      <c r="A140" s="59"/>
      <c r="B140" s="73" t="s">
        <v>370</v>
      </c>
      <c r="C140" s="106"/>
      <c r="D140" s="54"/>
      <c r="E140" s="54"/>
      <c r="F140" s="54"/>
      <c r="G140" s="83"/>
      <c r="H140" s="83"/>
      <c r="I140" s="55"/>
      <c r="J140" s="55"/>
      <c r="K140" s="55"/>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c r="ID140" s="39"/>
      <c r="IE140" s="39"/>
      <c r="IF140" s="39"/>
      <c r="IG140" s="39"/>
      <c r="IH140" s="39"/>
      <c r="II140" s="39"/>
      <c r="IJ140" s="39"/>
      <c r="IK140" s="39"/>
      <c r="IL140" s="39"/>
      <c r="IM140" s="39"/>
      <c r="IN140" s="39"/>
    </row>
    <row r="141" spans="1:248" s="56" customFormat="1" ht="16.5" customHeight="1">
      <c r="A141" s="59"/>
      <c r="B141" s="62" t="s">
        <v>361</v>
      </c>
      <c r="C141" s="106"/>
      <c r="D141" s="54"/>
      <c r="E141" s="54"/>
      <c r="F141" s="54"/>
      <c r="G141" s="83">
        <f>-63.22-31705.35-1079.86</f>
        <v>-32848.43</v>
      </c>
      <c r="H141" s="83">
        <v>0</v>
      </c>
      <c r="I141" s="55"/>
      <c r="J141" s="55"/>
      <c r="K141" s="55"/>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39"/>
      <c r="HD141" s="39"/>
      <c r="HE141" s="39"/>
      <c r="HF141" s="39"/>
      <c r="HG141" s="39"/>
      <c r="HH141" s="39"/>
      <c r="HI141" s="39"/>
      <c r="HJ141" s="39"/>
      <c r="HK141" s="39"/>
      <c r="HL141" s="39"/>
      <c r="HM141" s="39"/>
      <c r="HN141" s="39"/>
      <c r="HO141" s="39"/>
      <c r="HP141" s="39"/>
      <c r="HQ141" s="39"/>
      <c r="HR141" s="39"/>
      <c r="HS141" s="39"/>
      <c r="HT141" s="39"/>
      <c r="HU141" s="39"/>
      <c r="HV141" s="39"/>
      <c r="HW141" s="39"/>
      <c r="HX141" s="39"/>
      <c r="HY141" s="39"/>
      <c r="HZ141" s="39"/>
      <c r="IA141" s="39"/>
      <c r="IB141" s="39"/>
      <c r="IC141" s="39"/>
      <c r="ID141" s="39"/>
      <c r="IE141" s="39"/>
      <c r="IF141" s="39"/>
      <c r="IG141" s="39"/>
      <c r="IH141" s="39"/>
      <c r="II141" s="39"/>
      <c r="IJ141" s="39"/>
      <c r="IK141" s="39"/>
      <c r="IL141" s="39"/>
      <c r="IM141" s="39"/>
      <c r="IN141" s="39"/>
    </row>
    <row r="142" spans="1:248" s="56" customFormat="1" ht="30">
      <c r="A142" s="59" t="s">
        <v>395</v>
      </c>
      <c r="B142" s="57" t="s">
        <v>396</v>
      </c>
      <c r="C142" s="106">
        <f t="shared" ref="C142:H142" si="82">C143+C146+C149+C152+C153+C154+C155+C158+C159+C160</f>
        <v>0</v>
      </c>
      <c r="D142" s="106">
        <f t="shared" si="82"/>
        <v>2489110</v>
      </c>
      <c r="E142" s="106">
        <f t="shared" si="82"/>
        <v>2243250</v>
      </c>
      <c r="F142" s="106">
        <f t="shared" si="82"/>
        <v>2243250</v>
      </c>
      <c r="G142" s="106">
        <f t="shared" si="82"/>
        <v>2241329.5300000003</v>
      </c>
      <c r="H142" s="106">
        <f t="shared" si="82"/>
        <v>390922.1</v>
      </c>
      <c r="I142" s="55"/>
      <c r="J142" s="55"/>
      <c r="K142" s="55"/>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39"/>
      <c r="HD142" s="39"/>
      <c r="HE142" s="39"/>
      <c r="HF142" s="39"/>
      <c r="HG142" s="39"/>
      <c r="HH142" s="39"/>
      <c r="HI142" s="39"/>
      <c r="HJ142" s="39"/>
      <c r="HK142" s="39"/>
      <c r="HL142" s="39"/>
      <c r="HM142" s="39"/>
      <c r="HN142" s="39"/>
      <c r="HO142" s="39"/>
      <c r="HP142" s="39"/>
      <c r="HQ142" s="39"/>
      <c r="HR142" s="39"/>
      <c r="HS142" s="39"/>
      <c r="HT142" s="39"/>
      <c r="HU142" s="39"/>
      <c r="HV142" s="39"/>
      <c r="HW142" s="39"/>
      <c r="HX142" s="39"/>
      <c r="HY142" s="39"/>
      <c r="HZ142" s="39"/>
      <c r="IA142" s="39"/>
      <c r="IB142" s="39"/>
      <c r="IC142" s="39"/>
      <c r="ID142" s="39"/>
      <c r="IE142" s="39"/>
      <c r="IF142" s="39"/>
      <c r="IG142" s="39"/>
      <c r="IH142" s="39"/>
      <c r="II142" s="39"/>
      <c r="IJ142" s="39"/>
      <c r="IK142" s="39"/>
      <c r="IL142" s="39"/>
      <c r="IM142" s="39"/>
      <c r="IN142" s="39"/>
    </row>
    <row r="143" spans="1:248" s="56" customFormat="1">
      <c r="A143" s="59"/>
      <c r="B143" s="60" t="s">
        <v>384</v>
      </c>
      <c r="C143" s="106">
        <f t="shared" ref="C143:H143" si="83">C144+C145</f>
        <v>0</v>
      </c>
      <c r="D143" s="106">
        <f t="shared" si="83"/>
        <v>1163180</v>
      </c>
      <c r="E143" s="106">
        <f t="shared" si="83"/>
        <v>1127710</v>
      </c>
      <c r="F143" s="106">
        <f t="shared" ref="F143" si="84">F144+F145</f>
        <v>1127710</v>
      </c>
      <c r="G143" s="106">
        <f t="shared" si="83"/>
        <v>1126776</v>
      </c>
      <c r="H143" s="106">
        <f t="shared" si="83"/>
        <v>208546</v>
      </c>
      <c r="I143" s="55"/>
      <c r="J143" s="55"/>
      <c r="K143" s="55"/>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c r="HJ143" s="39"/>
      <c r="HK143" s="39"/>
      <c r="HL143" s="39"/>
      <c r="HM143" s="39"/>
      <c r="HN143" s="39"/>
      <c r="HO143" s="39"/>
      <c r="HP143" s="39"/>
      <c r="HQ143" s="39"/>
      <c r="HR143" s="39"/>
      <c r="HS143" s="39"/>
      <c r="HT143" s="39"/>
      <c r="HU143" s="39"/>
      <c r="HV143" s="39"/>
      <c r="HW143" s="39"/>
      <c r="HX143" s="39"/>
      <c r="HY143" s="39"/>
      <c r="HZ143" s="39"/>
      <c r="IA143" s="39"/>
      <c r="IB143" s="39"/>
      <c r="IC143" s="39"/>
      <c r="ID143" s="39"/>
      <c r="IE143" s="39"/>
      <c r="IF143" s="39"/>
      <c r="IG143" s="39"/>
      <c r="IH143" s="39"/>
      <c r="II143" s="39"/>
      <c r="IJ143" s="39"/>
      <c r="IK143" s="39"/>
      <c r="IL143" s="39"/>
      <c r="IM143" s="39"/>
      <c r="IN143" s="39"/>
    </row>
    <row r="144" spans="1:248" s="56" customFormat="1">
      <c r="A144" s="59"/>
      <c r="B144" s="60" t="s">
        <v>368</v>
      </c>
      <c r="C144" s="106"/>
      <c r="D144" s="54">
        <v>1163180</v>
      </c>
      <c r="E144" s="54">
        <v>1127710</v>
      </c>
      <c r="F144" s="54">
        <v>1127710</v>
      </c>
      <c r="G144" s="83">
        <f>564960+170750+182520+208546</f>
        <v>1126776</v>
      </c>
      <c r="H144" s="83">
        <v>208546</v>
      </c>
      <c r="I144" s="55"/>
      <c r="J144" s="55"/>
      <c r="K144" s="55"/>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c r="ID144" s="39"/>
      <c r="IE144" s="39"/>
      <c r="IF144" s="39"/>
      <c r="IG144" s="39"/>
      <c r="IH144" s="39"/>
      <c r="II144" s="39"/>
      <c r="IJ144" s="39"/>
      <c r="IK144" s="39"/>
      <c r="IL144" s="39"/>
      <c r="IM144" s="39"/>
      <c r="IN144" s="39"/>
    </row>
    <row r="145" spans="1:254" s="56" customFormat="1" ht="16.5" customHeight="1">
      <c r="A145" s="59"/>
      <c r="B145" s="60" t="s">
        <v>370</v>
      </c>
      <c r="C145" s="106"/>
      <c r="D145" s="54"/>
      <c r="E145" s="54"/>
      <c r="F145" s="54"/>
      <c r="G145" s="83"/>
      <c r="H145" s="83"/>
      <c r="I145" s="55"/>
      <c r="J145" s="55"/>
      <c r="K145" s="55"/>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c r="IK145" s="39"/>
      <c r="IL145" s="39"/>
      <c r="IM145" s="39"/>
      <c r="IN145" s="39"/>
    </row>
    <row r="146" spans="1:254" s="56" customFormat="1" ht="30">
      <c r="A146" s="59"/>
      <c r="B146" s="75" t="s">
        <v>397</v>
      </c>
      <c r="C146" s="106">
        <f t="shared" ref="C146:H146" si="85">C147+C148</f>
        <v>0</v>
      </c>
      <c r="D146" s="106">
        <f t="shared" si="85"/>
        <v>369830</v>
      </c>
      <c r="E146" s="106">
        <f t="shared" si="85"/>
        <v>301460</v>
      </c>
      <c r="F146" s="106">
        <f t="shared" ref="F146" si="86">F147+F148</f>
        <v>301460</v>
      </c>
      <c r="G146" s="106">
        <f t="shared" si="85"/>
        <v>301278.26</v>
      </c>
      <c r="H146" s="106">
        <f t="shared" si="85"/>
        <v>60153.31</v>
      </c>
      <c r="I146" s="55"/>
      <c r="J146" s="55"/>
      <c r="K146" s="55"/>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c r="IE146" s="39"/>
      <c r="IF146" s="39"/>
      <c r="IG146" s="39"/>
      <c r="IH146" s="39"/>
      <c r="II146" s="39"/>
      <c r="IJ146" s="39"/>
      <c r="IK146" s="39"/>
      <c r="IL146" s="39"/>
      <c r="IM146" s="39"/>
      <c r="IN146" s="39"/>
    </row>
    <row r="147" spans="1:254" s="56" customFormat="1" ht="16.5" customHeight="1">
      <c r="A147" s="59"/>
      <c r="B147" s="75" t="s">
        <v>368</v>
      </c>
      <c r="C147" s="106"/>
      <c r="D147" s="54">
        <v>369830</v>
      </c>
      <c r="E147" s="54">
        <v>301460</v>
      </c>
      <c r="F147" s="54">
        <v>301460</v>
      </c>
      <c r="G147" s="83">
        <f>146699.64+59758.23+34667.08+60153.31</f>
        <v>301278.26</v>
      </c>
      <c r="H147" s="83">
        <v>60153.31</v>
      </c>
      <c r="I147" s="55"/>
      <c r="J147" s="55"/>
      <c r="K147" s="55"/>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c r="HJ147" s="39"/>
      <c r="HK147" s="39"/>
      <c r="HL147" s="39"/>
      <c r="HM147" s="39"/>
      <c r="HN147" s="39"/>
      <c r="HO147" s="39"/>
      <c r="HP147" s="39"/>
      <c r="HQ147" s="39"/>
      <c r="HR147" s="39"/>
      <c r="HS147" s="39"/>
      <c r="HT147" s="39"/>
      <c r="HU147" s="39"/>
      <c r="HV147" s="39"/>
      <c r="HW147" s="39"/>
      <c r="HX147" s="39"/>
      <c r="HY147" s="39"/>
      <c r="HZ147" s="39"/>
      <c r="IA147" s="39"/>
      <c r="IB147" s="39"/>
      <c r="IC147" s="39"/>
      <c r="ID147" s="39"/>
      <c r="IE147" s="39"/>
      <c r="IF147" s="39"/>
      <c r="IG147" s="39"/>
      <c r="IH147" s="39"/>
      <c r="II147" s="39"/>
      <c r="IJ147" s="39"/>
      <c r="IK147" s="39"/>
      <c r="IL147" s="39"/>
      <c r="IM147" s="39"/>
      <c r="IN147" s="39"/>
    </row>
    <row r="148" spans="1:254" s="56" customFormat="1" ht="60">
      <c r="A148" s="59"/>
      <c r="B148" s="75" t="s">
        <v>370</v>
      </c>
      <c r="C148" s="106"/>
      <c r="D148" s="54"/>
      <c r="E148" s="54"/>
      <c r="F148" s="54"/>
      <c r="G148" s="83"/>
      <c r="H148" s="83"/>
      <c r="I148" s="55"/>
      <c r="J148" s="55"/>
      <c r="K148" s="55"/>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c r="HJ148" s="39"/>
      <c r="HK148" s="39"/>
      <c r="HL148" s="39"/>
      <c r="HM148" s="39"/>
      <c r="HN148" s="39"/>
      <c r="HO148" s="39"/>
      <c r="HP148" s="39"/>
      <c r="HQ148" s="39"/>
      <c r="HR148" s="39"/>
      <c r="HS148" s="39"/>
      <c r="HT148" s="39"/>
      <c r="HU148" s="39"/>
      <c r="HV148" s="39"/>
      <c r="HW148" s="39"/>
      <c r="HX148" s="39"/>
      <c r="HY148" s="39"/>
      <c r="HZ148" s="39"/>
      <c r="IA148" s="39"/>
      <c r="IB148" s="39"/>
      <c r="IC148" s="39"/>
      <c r="ID148" s="39"/>
      <c r="IE148" s="39"/>
      <c r="IF148" s="39"/>
      <c r="IG148" s="39"/>
      <c r="IH148" s="39"/>
      <c r="II148" s="39"/>
      <c r="IJ148" s="39"/>
      <c r="IK148" s="39"/>
      <c r="IL148" s="39"/>
      <c r="IM148" s="39"/>
      <c r="IN148" s="39"/>
    </row>
    <row r="149" spans="1:254" s="56" customFormat="1">
      <c r="A149" s="59"/>
      <c r="B149" s="60" t="s">
        <v>398</v>
      </c>
      <c r="C149" s="106">
        <f t="shared" ref="C149:H149" si="87">C150+C151</f>
        <v>0</v>
      </c>
      <c r="D149" s="106">
        <f t="shared" si="87"/>
        <v>956100</v>
      </c>
      <c r="E149" s="106">
        <f t="shared" si="87"/>
        <v>814080</v>
      </c>
      <c r="F149" s="106">
        <f t="shared" ref="F149" si="88">F150+F151</f>
        <v>814080</v>
      </c>
      <c r="G149" s="106">
        <f t="shared" si="87"/>
        <v>813275.27000000014</v>
      </c>
      <c r="H149" s="106">
        <f t="shared" si="87"/>
        <v>122222.79</v>
      </c>
      <c r="I149" s="55"/>
      <c r="J149" s="55"/>
      <c r="K149" s="55"/>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c r="IK149" s="39"/>
      <c r="IL149" s="39"/>
      <c r="IM149" s="39"/>
      <c r="IN149" s="39"/>
    </row>
    <row r="150" spans="1:254" s="56" customFormat="1" ht="16.5" customHeight="1">
      <c r="A150" s="59"/>
      <c r="B150" s="60" t="s">
        <v>368</v>
      </c>
      <c r="C150" s="106"/>
      <c r="D150" s="54">
        <v>956100</v>
      </c>
      <c r="E150" s="54">
        <v>814080</v>
      </c>
      <c r="F150" s="54">
        <v>814080</v>
      </c>
      <c r="G150" s="83">
        <f>470904.82+55166.75+164980.91+122222.79</f>
        <v>813275.27000000014</v>
      </c>
      <c r="H150" s="83">
        <v>122222.79</v>
      </c>
      <c r="I150" s="55"/>
      <c r="J150" s="55"/>
      <c r="K150" s="55"/>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c r="HJ150" s="39"/>
      <c r="HK150" s="39"/>
      <c r="HL150" s="39"/>
      <c r="HM150" s="39"/>
      <c r="HN150" s="39"/>
      <c r="HO150" s="39"/>
      <c r="HP150" s="39"/>
      <c r="HQ150" s="39"/>
      <c r="HR150" s="39"/>
      <c r="HS150" s="39"/>
      <c r="HT150" s="39"/>
      <c r="HU150" s="39"/>
      <c r="HV150" s="39"/>
      <c r="HW150" s="39"/>
      <c r="HX150" s="39"/>
      <c r="HY150" s="39"/>
      <c r="HZ150" s="39"/>
      <c r="IA150" s="39"/>
      <c r="IB150" s="39"/>
      <c r="IC150" s="39"/>
      <c r="ID150" s="39"/>
      <c r="IE150" s="39"/>
      <c r="IF150" s="39"/>
      <c r="IG150" s="39"/>
      <c r="IH150" s="39"/>
      <c r="II150" s="39"/>
      <c r="IJ150" s="39"/>
      <c r="IK150" s="39"/>
      <c r="IL150" s="39"/>
      <c r="IM150" s="39"/>
      <c r="IN150" s="39"/>
    </row>
    <row r="151" spans="1:254" s="56" customFormat="1" ht="16.5" customHeight="1">
      <c r="A151" s="52"/>
      <c r="B151" s="60" t="s">
        <v>370</v>
      </c>
      <c r="C151" s="106"/>
      <c r="D151" s="54"/>
      <c r="E151" s="54"/>
      <c r="F151" s="54"/>
      <c r="G151" s="83"/>
      <c r="H151" s="83"/>
      <c r="I151" s="55"/>
      <c r="J151" s="55"/>
      <c r="K151" s="55"/>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c r="HJ151" s="39"/>
      <c r="HK151" s="39"/>
      <c r="HL151" s="39"/>
      <c r="HM151" s="39"/>
      <c r="HN151" s="39"/>
      <c r="HO151" s="39"/>
      <c r="HP151" s="39"/>
      <c r="HQ151" s="39"/>
      <c r="HR151" s="39"/>
      <c r="HS151" s="39"/>
      <c r="HT151" s="39"/>
      <c r="HU151" s="39"/>
      <c r="HV151" s="39"/>
      <c r="HW151" s="39"/>
      <c r="HX151" s="39"/>
      <c r="HY151" s="39"/>
      <c r="HZ151" s="39"/>
      <c r="IA151" s="39"/>
      <c r="IB151" s="39"/>
      <c r="IC151" s="39"/>
      <c r="ID151" s="39"/>
      <c r="IE151" s="39"/>
      <c r="IF151" s="39"/>
      <c r="IG151" s="39"/>
      <c r="IH151" s="39"/>
      <c r="II151" s="39"/>
      <c r="IJ151" s="39"/>
      <c r="IK151" s="39"/>
      <c r="IL151" s="39"/>
      <c r="IM151" s="39"/>
      <c r="IN151" s="39"/>
    </row>
    <row r="152" spans="1:254" s="56" customFormat="1" ht="16.5" customHeight="1">
      <c r="A152" s="59"/>
      <c r="B152" s="60" t="s">
        <v>399</v>
      </c>
      <c r="C152" s="106"/>
      <c r="D152" s="54"/>
      <c r="E152" s="54"/>
      <c r="F152" s="54"/>
      <c r="G152" s="83"/>
      <c r="H152" s="83"/>
      <c r="I152" s="55"/>
      <c r="J152" s="55"/>
      <c r="K152" s="55"/>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row>
    <row r="153" spans="1:254" s="56" customFormat="1" ht="16.5" customHeight="1">
      <c r="A153" s="59"/>
      <c r="B153" s="60" t="s">
        <v>400</v>
      </c>
      <c r="C153" s="106"/>
      <c r="D153" s="54"/>
      <c r="E153" s="54"/>
      <c r="F153" s="54"/>
      <c r="G153" s="83"/>
      <c r="H153" s="83"/>
      <c r="I153" s="55"/>
      <c r="J153" s="55"/>
      <c r="K153" s="55"/>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row>
    <row r="154" spans="1:254" ht="16.5" customHeight="1">
      <c r="A154" s="59"/>
      <c r="B154" s="60" t="s">
        <v>381</v>
      </c>
      <c r="C154" s="106"/>
      <c r="D154" s="54"/>
      <c r="E154" s="54"/>
      <c r="F154" s="54"/>
      <c r="G154" s="83"/>
      <c r="H154" s="83"/>
      <c r="I154" s="55"/>
      <c r="J154" s="55"/>
      <c r="K154" s="55"/>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DK154" s="56"/>
      <c r="DL154" s="56"/>
      <c r="DM154" s="56"/>
      <c r="DN154" s="56"/>
      <c r="DO154" s="56"/>
      <c r="DP154" s="56"/>
      <c r="DQ154" s="56"/>
      <c r="DR154" s="56"/>
      <c r="DS154" s="56"/>
      <c r="DT154" s="56"/>
      <c r="DU154" s="56"/>
      <c r="DV154" s="56"/>
      <c r="DW154" s="56"/>
      <c r="DX154" s="56"/>
      <c r="DY154" s="56"/>
      <c r="DZ154" s="56"/>
      <c r="EA154" s="56"/>
      <c r="EB154" s="56"/>
      <c r="EC154" s="56"/>
      <c r="ED154" s="56"/>
      <c r="EE154" s="56"/>
      <c r="EF154" s="56"/>
      <c r="EG154" s="56"/>
      <c r="EH154" s="56"/>
      <c r="EI154" s="56"/>
      <c r="EJ154" s="56"/>
      <c r="EK154" s="56"/>
      <c r="EL154" s="56"/>
      <c r="EM154" s="56"/>
      <c r="EN154" s="56"/>
      <c r="EO154" s="56"/>
      <c r="EP154" s="56"/>
      <c r="EQ154" s="56"/>
      <c r="ER154" s="56"/>
      <c r="ES154" s="56"/>
      <c r="ET154" s="56"/>
      <c r="EU154" s="56"/>
      <c r="EV154" s="56"/>
      <c r="EW154" s="56"/>
      <c r="EX154" s="56"/>
      <c r="EY154" s="56"/>
      <c r="EZ154" s="56"/>
      <c r="FA154" s="56"/>
      <c r="FB154" s="56"/>
      <c r="FC154" s="56"/>
      <c r="FD154" s="56"/>
      <c r="FE154" s="56"/>
      <c r="FF154" s="56"/>
      <c r="FG154" s="56"/>
      <c r="FH154" s="56"/>
      <c r="FI154" s="56"/>
      <c r="FJ154" s="56"/>
      <c r="FK154" s="56"/>
      <c r="FL154" s="56"/>
      <c r="FM154" s="56"/>
      <c r="FN154" s="56"/>
      <c r="FO154" s="56"/>
      <c r="FP154" s="56"/>
      <c r="FQ154" s="56"/>
      <c r="FR154" s="56"/>
      <c r="FS154" s="56"/>
      <c r="FT154" s="56"/>
      <c r="FU154" s="56"/>
      <c r="FV154" s="56"/>
      <c r="FW154" s="56"/>
      <c r="FX154" s="56"/>
      <c r="FY154" s="56"/>
      <c r="FZ154" s="56"/>
      <c r="GA154" s="56"/>
      <c r="GB154" s="56"/>
      <c r="GC154" s="56"/>
      <c r="GD154" s="56"/>
      <c r="GE154" s="56"/>
      <c r="GF154" s="56"/>
      <c r="GG154" s="56"/>
      <c r="GH154" s="56"/>
      <c r="GI154" s="56"/>
      <c r="GJ154" s="56"/>
      <c r="GK154" s="56"/>
      <c r="GL154" s="56"/>
      <c r="GM154" s="56"/>
      <c r="GN154" s="56"/>
      <c r="GO154" s="56"/>
      <c r="GP154" s="56"/>
      <c r="GQ154" s="56"/>
      <c r="GR154" s="56"/>
      <c r="GS154" s="56"/>
      <c r="GT154" s="56"/>
      <c r="GU154" s="56"/>
      <c r="GV154" s="56"/>
      <c r="GW154" s="56"/>
      <c r="GX154" s="56"/>
      <c r="GY154" s="56"/>
      <c r="GZ154" s="56"/>
      <c r="HA154" s="56"/>
      <c r="HB154" s="56"/>
      <c r="HC154" s="56"/>
      <c r="HD154" s="56"/>
      <c r="HE154" s="56"/>
      <c r="HF154" s="56"/>
      <c r="HG154" s="56"/>
      <c r="HH154" s="56"/>
      <c r="HI154" s="56"/>
      <c r="HJ154" s="56"/>
      <c r="HK154" s="56"/>
      <c r="HL154" s="56"/>
      <c r="HM154" s="56"/>
      <c r="HN154" s="56"/>
      <c r="HO154" s="56"/>
      <c r="HP154" s="56"/>
      <c r="HQ154" s="56"/>
      <c r="HR154" s="56"/>
      <c r="HS154" s="56"/>
      <c r="HT154" s="56"/>
      <c r="HU154" s="56"/>
      <c r="HV154" s="56"/>
      <c r="HW154" s="56"/>
      <c r="HX154" s="56"/>
      <c r="HY154" s="56"/>
      <c r="HZ154" s="56"/>
      <c r="IA154" s="56"/>
      <c r="IB154" s="56"/>
      <c r="IC154" s="56"/>
      <c r="ID154" s="56"/>
      <c r="IE154" s="56"/>
      <c r="IF154" s="56"/>
      <c r="IG154" s="56"/>
      <c r="IH154" s="56"/>
      <c r="II154" s="56"/>
      <c r="IJ154" s="56"/>
      <c r="IK154" s="56"/>
      <c r="IL154" s="56"/>
      <c r="IM154" s="56"/>
      <c r="IO154" s="56"/>
      <c r="IP154" s="56"/>
      <c r="IQ154" s="56"/>
      <c r="IR154" s="56"/>
      <c r="IS154" s="56"/>
      <c r="IT154" s="56"/>
    </row>
    <row r="155" spans="1:254">
      <c r="A155" s="52"/>
      <c r="B155" s="60" t="s">
        <v>401</v>
      </c>
      <c r="C155" s="106">
        <f t="shared" ref="C155:H155" si="89">C156+C157</f>
        <v>0</v>
      </c>
      <c r="D155" s="106">
        <f t="shared" si="89"/>
        <v>0</v>
      </c>
      <c r="E155" s="106">
        <f t="shared" si="89"/>
        <v>0</v>
      </c>
      <c r="F155" s="106">
        <f t="shared" ref="F155" si="90">F156+F157</f>
        <v>0</v>
      </c>
      <c r="G155" s="106">
        <f t="shared" si="89"/>
        <v>0</v>
      </c>
      <c r="H155" s="106">
        <f t="shared" si="89"/>
        <v>0</v>
      </c>
      <c r="I155" s="55"/>
      <c r="J155" s="55"/>
      <c r="K155" s="55"/>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56"/>
      <c r="DO155" s="56"/>
      <c r="DP155" s="56"/>
      <c r="DQ155" s="56"/>
      <c r="DR155" s="56"/>
      <c r="DS155" s="56"/>
      <c r="DT155" s="56"/>
      <c r="DU155" s="56"/>
      <c r="DV155" s="56"/>
      <c r="DW155" s="56"/>
      <c r="DX155" s="56"/>
      <c r="DY155" s="56"/>
      <c r="DZ155" s="56"/>
      <c r="EA155" s="56"/>
      <c r="EB155" s="56"/>
      <c r="EC155" s="56"/>
      <c r="ED155" s="56"/>
      <c r="EE155" s="56"/>
      <c r="EF155" s="56"/>
      <c r="EG155" s="56"/>
      <c r="EH155" s="56"/>
      <c r="EI155" s="56"/>
      <c r="EJ155" s="56"/>
      <c r="EK155" s="56"/>
      <c r="EL155" s="56"/>
      <c r="EM155" s="56"/>
      <c r="EN155" s="56"/>
      <c r="EO155" s="56"/>
      <c r="EP155" s="56"/>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R155" s="56"/>
      <c r="FS155" s="56"/>
      <c r="FT155" s="56"/>
      <c r="FU155" s="56"/>
      <c r="FV155" s="56"/>
      <c r="FW155" s="56"/>
      <c r="FX155" s="56"/>
      <c r="FY155" s="56"/>
      <c r="FZ155" s="56"/>
      <c r="GA155" s="56"/>
      <c r="GB155" s="56"/>
      <c r="GC155" s="56"/>
      <c r="GD155" s="56"/>
      <c r="GE155" s="56"/>
      <c r="GF155" s="56"/>
      <c r="GG155" s="56"/>
      <c r="GH155" s="56"/>
      <c r="GI155" s="56"/>
      <c r="GJ155" s="56"/>
      <c r="GK155" s="56"/>
      <c r="GL155" s="56"/>
      <c r="GM155" s="56"/>
      <c r="GN155" s="56"/>
      <c r="GO155" s="56"/>
      <c r="GP155" s="56"/>
      <c r="GQ155" s="56"/>
      <c r="GR155" s="56"/>
      <c r="GS155" s="56"/>
      <c r="GT155" s="56"/>
      <c r="GU155" s="56"/>
      <c r="GV155" s="56"/>
      <c r="GW155" s="56"/>
      <c r="GX155" s="56"/>
      <c r="GY155" s="56"/>
      <c r="GZ155" s="56"/>
      <c r="HA155" s="56"/>
      <c r="HB155" s="56"/>
      <c r="HC155" s="56"/>
      <c r="HD155" s="56"/>
      <c r="HE155" s="56"/>
      <c r="HF155" s="56"/>
      <c r="HG155" s="56"/>
      <c r="HH155" s="56"/>
      <c r="HI155" s="56"/>
      <c r="HJ155" s="56"/>
      <c r="HK155" s="56"/>
      <c r="HL155" s="56"/>
      <c r="HM155" s="56"/>
      <c r="HN155" s="56"/>
      <c r="HO155" s="56"/>
      <c r="HP155" s="56"/>
      <c r="HQ155" s="56"/>
      <c r="HR155" s="56"/>
      <c r="HS155" s="56"/>
      <c r="HT155" s="56"/>
      <c r="HU155" s="56"/>
      <c r="HV155" s="56"/>
      <c r="HW155" s="56"/>
      <c r="HX155" s="56"/>
      <c r="HY155" s="56"/>
      <c r="HZ155" s="56"/>
      <c r="IA155" s="56"/>
      <c r="IB155" s="56"/>
      <c r="IC155" s="56"/>
      <c r="ID155" s="56"/>
      <c r="IE155" s="56"/>
      <c r="IF155" s="56"/>
      <c r="IG155" s="56"/>
      <c r="IH155" s="56"/>
      <c r="II155" s="56"/>
      <c r="IJ155" s="56"/>
      <c r="IK155" s="56"/>
      <c r="IL155" s="56"/>
      <c r="IM155" s="56"/>
      <c r="IO155" s="56"/>
      <c r="IP155" s="56"/>
      <c r="IQ155" s="56"/>
      <c r="IR155" s="56"/>
      <c r="IS155" s="56"/>
      <c r="IT155" s="56"/>
    </row>
    <row r="156" spans="1:254">
      <c r="A156" s="59"/>
      <c r="B156" s="60" t="s">
        <v>368</v>
      </c>
      <c r="C156" s="106"/>
      <c r="D156" s="54"/>
      <c r="E156" s="54"/>
      <c r="F156" s="54"/>
      <c r="G156" s="83"/>
      <c r="H156" s="83"/>
      <c r="I156" s="55"/>
      <c r="J156" s="55"/>
      <c r="K156" s="55"/>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c r="EA156" s="56"/>
      <c r="EB156" s="56"/>
      <c r="EC156" s="56"/>
      <c r="ED156" s="56"/>
      <c r="EE156" s="56"/>
      <c r="EF156" s="56"/>
      <c r="EG156" s="56"/>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56"/>
      <c r="FQ156" s="56"/>
      <c r="FR156" s="56"/>
      <c r="FS156" s="56"/>
      <c r="FT156" s="56"/>
      <c r="FU156" s="56"/>
      <c r="FV156" s="56"/>
      <c r="FW156" s="56"/>
      <c r="FX156" s="56"/>
      <c r="FY156" s="56"/>
      <c r="FZ156" s="56"/>
      <c r="GA156" s="56"/>
      <c r="GB156" s="56"/>
      <c r="GC156" s="56"/>
      <c r="GD156" s="56"/>
      <c r="GE156" s="56"/>
      <c r="GF156" s="56"/>
      <c r="GG156" s="56"/>
      <c r="GH156" s="56"/>
      <c r="GI156" s="56"/>
      <c r="GJ156" s="56"/>
      <c r="GK156" s="56"/>
      <c r="GL156" s="56"/>
      <c r="GM156" s="56"/>
      <c r="GN156" s="56"/>
      <c r="GO156" s="56"/>
      <c r="GP156" s="56"/>
      <c r="GQ156" s="56"/>
      <c r="GR156" s="56"/>
      <c r="GS156" s="56"/>
      <c r="GT156" s="56"/>
      <c r="GU156" s="56"/>
      <c r="GV156" s="56"/>
      <c r="GW156" s="56"/>
      <c r="GX156" s="56"/>
      <c r="GY156" s="56"/>
      <c r="GZ156" s="56"/>
      <c r="HA156" s="56"/>
      <c r="HB156" s="56"/>
      <c r="HC156" s="56"/>
      <c r="HD156" s="56"/>
      <c r="HE156" s="56"/>
      <c r="HF156" s="56"/>
      <c r="HG156" s="56"/>
      <c r="HH156" s="56"/>
      <c r="HI156" s="56"/>
      <c r="HJ156" s="56"/>
      <c r="HK156" s="56"/>
      <c r="HL156" s="56"/>
      <c r="HM156" s="56"/>
      <c r="HN156" s="56"/>
      <c r="HO156" s="56"/>
      <c r="HP156" s="56"/>
      <c r="HQ156" s="56"/>
      <c r="HR156" s="56"/>
      <c r="HS156" s="56"/>
      <c r="HT156" s="56"/>
      <c r="HU156" s="56"/>
      <c r="HV156" s="56"/>
      <c r="HW156" s="56"/>
      <c r="HX156" s="56"/>
      <c r="HY156" s="56"/>
      <c r="HZ156" s="56"/>
      <c r="IA156" s="56"/>
      <c r="IB156" s="56"/>
      <c r="IC156" s="56"/>
      <c r="ID156" s="56"/>
      <c r="IE156" s="56"/>
      <c r="IF156" s="56"/>
      <c r="IG156" s="56"/>
      <c r="IH156" s="56"/>
      <c r="II156" s="56"/>
      <c r="IJ156" s="56"/>
      <c r="IK156" s="56"/>
      <c r="IL156" s="56"/>
      <c r="IM156" s="56"/>
    </row>
    <row r="157" spans="1:254" ht="60">
      <c r="A157" s="59"/>
      <c r="B157" s="60" t="s">
        <v>370</v>
      </c>
      <c r="C157" s="106"/>
      <c r="D157" s="54"/>
      <c r="E157" s="54"/>
      <c r="F157" s="54"/>
      <c r="G157" s="83"/>
      <c r="H157" s="83"/>
      <c r="I157" s="55"/>
      <c r="J157" s="55"/>
      <c r="K157" s="55"/>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6"/>
      <c r="DG157" s="56"/>
      <c r="DH157" s="56"/>
      <c r="DI157" s="56"/>
      <c r="DJ157" s="56"/>
      <c r="DK157" s="56"/>
      <c r="DL157" s="56"/>
      <c r="DM157" s="56"/>
      <c r="DN157" s="56"/>
      <c r="DO157" s="56"/>
      <c r="DP157" s="56"/>
      <c r="DQ157" s="56"/>
      <c r="DR157" s="56"/>
      <c r="DS157" s="56"/>
      <c r="DT157" s="56"/>
      <c r="DU157" s="56"/>
      <c r="DV157" s="56"/>
      <c r="DW157" s="56"/>
      <c r="DX157" s="56"/>
      <c r="DY157" s="56"/>
      <c r="DZ157" s="56"/>
      <c r="EA157" s="56"/>
      <c r="EB157" s="56"/>
      <c r="EC157" s="56"/>
      <c r="ED157" s="56"/>
      <c r="EE157" s="56"/>
      <c r="EF157" s="56"/>
      <c r="EG157" s="56"/>
      <c r="EH157" s="56"/>
      <c r="EI157" s="56"/>
      <c r="EJ157" s="56"/>
      <c r="EK157" s="56"/>
      <c r="EL157" s="56"/>
      <c r="EM157" s="56"/>
      <c r="EN157" s="56"/>
      <c r="EO157" s="56"/>
      <c r="EP157" s="56"/>
      <c r="EQ157" s="56"/>
      <c r="ER157" s="56"/>
      <c r="ES157" s="56"/>
      <c r="ET157" s="56"/>
      <c r="EU157" s="56"/>
      <c r="EV157" s="56"/>
      <c r="EW157" s="56"/>
      <c r="EX157" s="56"/>
      <c r="EY157" s="56"/>
      <c r="EZ157" s="56"/>
      <c r="FA157" s="56"/>
      <c r="FB157" s="56"/>
      <c r="FC157" s="56"/>
      <c r="FD157" s="56"/>
      <c r="FE157" s="56"/>
      <c r="FF157" s="56"/>
      <c r="FG157" s="56"/>
      <c r="FH157" s="56"/>
      <c r="FI157" s="56"/>
      <c r="FJ157" s="56"/>
      <c r="FK157" s="56"/>
      <c r="FL157" s="56"/>
      <c r="FM157" s="56"/>
      <c r="FN157" s="56"/>
      <c r="FO157" s="56"/>
      <c r="FP157" s="56"/>
      <c r="FQ157" s="56"/>
      <c r="FR157" s="56"/>
      <c r="FS157" s="56"/>
      <c r="FT157" s="56"/>
      <c r="FU157" s="56"/>
      <c r="FV157" s="56"/>
      <c r="FW157" s="56"/>
      <c r="FX157" s="56"/>
      <c r="FY157" s="56"/>
      <c r="FZ157" s="56"/>
      <c r="GA157" s="56"/>
      <c r="GB157" s="56"/>
      <c r="GC157" s="56"/>
      <c r="GD157" s="56"/>
      <c r="GE157" s="56"/>
      <c r="GF157" s="56"/>
      <c r="GG157" s="56"/>
      <c r="GH157" s="56"/>
      <c r="GI157" s="56"/>
      <c r="GJ157" s="56"/>
      <c r="GK157" s="56"/>
      <c r="GL157" s="56"/>
      <c r="GM157" s="56"/>
      <c r="GN157" s="56"/>
      <c r="GO157" s="56"/>
      <c r="GP157" s="56"/>
      <c r="GQ157" s="56"/>
      <c r="GR157" s="56"/>
      <c r="GS157" s="56"/>
      <c r="GT157" s="56"/>
      <c r="GU157" s="56"/>
      <c r="GV157" s="56"/>
      <c r="GW157" s="56"/>
      <c r="GX157" s="56"/>
      <c r="GY157" s="56"/>
      <c r="GZ157" s="56"/>
      <c r="HA157" s="56"/>
      <c r="HB157" s="56"/>
      <c r="HC157" s="56"/>
      <c r="HD157" s="56"/>
      <c r="HE157" s="56"/>
      <c r="HF157" s="56"/>
      <c r="HG157" s="56"/>
      <c r="HH157" s="56"/>
      <c r="HI157" s="56"/>
      <c r="HJ157" s="56"/>
      <c r="HK157" s="56"/>
      <c r="HL157" s="56"/>
      <c r="HM157" s="56"/>
      <c r="HN157" s="56"/>
      <c r="HO157" s="56"/>
      <c r="HP157" s="56"/>
      <c r="HQ157" s="56"/>
      <c r="HR157" s="56"/>
      <c r="HS157" s="56"/>
      <c r="HT157" s="56"/>
      <c r="HU157" s="56"/>
      <c r="HV157" s="56"/>
      <c r="HW157" s="56"/>
      <c r="HX157" s="56"/>
      <c r="HY157" s="56"/>
      <c r="HZ157" s="56"/>
      <c r="IA157" s="56"/>
      <c r="IB157" s="56"/>
      <c r="IC157" s="56"/>
      <c r="ID157" s="56"/>
      <c r="IE157" s="56"/>
      <c r="IF157" s="56"/>
      <c r="IG157" s="56"/>
      <c r="IH157" s="56"/>
      <c r="II157" s="56"/>
      <c r="IJ157" s="56"/>
      <c r="IK157" s="56"/>
      <c r="IL157" s="56"/>
      <c r="IM157" s="56"/>
    </row>
    <row r="158" spans="1:254" ht="45">
      <c r="A158" s="59"/>
      <c r="B158" s="76" t="s">
        <v>508</v>
      </c>
      <c r="C158" s="106"/>
      <c r="D158" s="54"/>
      <c r="E158" s="54"/>
      <c r="F158" s="54"/>
      <c r="G158" s="83"/>
      <c r="H158" s="83"/>
      <c r="I158" s="55"/>
      <c r="J158" s="55"/>
      <c r="K158" s="55"/>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6"/>
      <c r="EB158" s="56"/>
      <c r="EC158" s="56"/>
      <c r="ED158" s="56"/>
      <c r="EE158" s="56"/>
      <c r="EF158" s="56"/>
      <c r="EG158" s="56"/>
      <c r="EH158" s="56"/>
      <c r="EI158" s="56"/>
      <c r="EJ158" s="56"/>
      <c r="EK158" s="56"/>
      <c r="EL158" s="56"/>
      <c r="EM158" s="56"/>
      <c r="EN158" s="56"/>
      <c r="EO158" s="56"/>
      <c r="EP158" s="56"/>
      <c r="EQ158" s="56"/>
      <c r="ER158" s="56"/>
      <c r="ES158" s="56"/>
      <c r="ET158" s="56"/>
      <c r="EU158" s="56"/>
      <c r="EV158" s="56"/>
      <c r="EW158" s="56"/>
      <c r="EX158" s="56"/>
      <c r="EY158" s="56"/>
      <c r="EZ158" s="56"/>
      <c r="FA158" s="56"/>
      <c r="FB158" s="56"/>
      <c r="FC158" s="56"/>
      <c r="FD158" s="56"/>
      <c r="FE158" s="56"/>
      <c r="FF158" s="56"/>
      <c r="FG158" s="56"/>
      <c r="FH158" s="56"/>
      <c r="FI158" s="56"/>
      <c r="FJ158" s="56"/>
      <c r="FK158" s="56"/>
      <c r="FL158" s="56"/>
      <c r="FM158" s="56"/>
      <c r="FN158" s="56"/>
      <c r="FO158" s="56"/>
      <c r="FP158" s="56"/>
      <c r="FQ158" s="56"/>
      <c r="FR158" s="56"/>
      <c r="FS158" s="56"/>
      <c r="FT158" s="56"/>
      <c r="FU158" s="56"/>
      <c r="FV158" s="56"/>
      <c r="FW158" s="56"/>
      <c r="FX158" s="56"/>
      <c r="FY158" s="56"/>
      <c r="FZ158" s="56"/>
      <c r="GA158" s="56"/>
      <c r="GB158" s="56"/>
      <c r="GC158" s="56"/>
      <c r="GD158" s="56"/>
      <c r="GE158" s="56"/>
      <c r="GF158" s="56"/>
      <c r="GG158" s="56"/>
      <c r="GH158" s="56"/>
      <c r="GI158" s="56"/>
      <c r="GJ158" s="56"/>
      <c r="GK158" s="56"/>
      <c r="GL158" s="56"/>
      <c r="GM158" s="56"/>
      <c r="GN158" s="56"/>
      <c r="GO158" s="56"/>
      <c r="GP158" s="56"/>
      <c r="GQ158" s="56"/>
      <c r="GR158" s="56"/>
      <c r="GS158" s="56"/>
      <c r="GT158" s="56"/>
      <c r="GU158" s="56"/>
      <c r="GV158" s="56"/>
      <c r="GW158" s="56"/>
      <c r="GX158" s="56"/>
      <c r="GY158" s="56"/>
      <c r="GZ158" s="56"/>
      <c r="HA158" s="56"/>
      <c r="HB158" s="56"/>
      <c r="HC158" s="56"/>
      <c r="HD158" s="56"/>
      <c r="HE158" s="56"/>
      <c r="HF158" s="56"/>
      <c r="HG158" s="56"/>
      <c r="HH158" s="56"/>
      <c r="HI158" s="56"/>
      <c r="HJ158" s="56"/>
      <c r="HK158" s="56"/>
      <c r="HL158" s="56"/>
      <c r="HM158" s="56"/>
      <c r="HN158" s="56"/>
      <c r="HO158" s="56"/>
      <c r="HP158" s="56"/>
      <c r="HQ158" s="56"/>
      <c r="HR158" s="56"/>
      <c r="HS158" s="56"/>
      <c r="HT158" s="56"/>
      <c r="HU158" s="56"/>
      <c r="HV158" s="56"/>
      <c r="HW158" s="56"/>
      <c r="HX158" s="56"/>
      <c r="HY158" s="56"/>
      <c r="HZ158" s="56"/>
      <c r="IA158" s="56"/>
      <c r="IB158" s="56"/>
      <c r="IC158" s="56"/>
      <c r="ID158" s="56"/>
      <c r="IE158" s="56"/>
      <c r="IF158" s="56"/>
      <c r="IG158" s="56"/>
      <c r="IH158" s="56"/>
      <c r="II158" s="56"/>
      <c r="IJ158" s="56"/>
      <c r="IK158" s="56"/>
      <c r="IL158" s="56"/>
      <c r="IM158" s="56"/>
    </row>
    <row r="159" spans="1:254" ht="30">
      <c r="A159" s="59"/>
      <c r="B159" s="76" t="s">
        <v>402</v>
      </c>
      <c r="C159" s="106"/>
      <c r="D159" s="54"/>
      <c r="E159" s="54"/>
      <c r="F159" s="54"/>
      <c r="G159" s="83"/>
      <c r="H159" s="83"/>
      <c r="I159" s="55"/>
      <c r="J159" s="55"/>
      <c r="K159" s="55"/>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6"/>
      <c r="EB159" s="56"/>
      <c r="EC159" s="56"/>
      <c r="ED159" s="56"/>
      <c r="EE159" s="56"/>
      <c r="EF159" s="56"/>
      <c r="EG159" s="56"/>
      <c r="EH159" s="56"/>
      <c r="EI159" s="56"/>
      <c r="EJ159" s="56"/>
      <c r="EK159" s="56"/>
      <c r="EL159" s="56"/>
      <c r="EM159" s="56"/>
      <c r="EN159" s="56"/>
      <c r="EO159" s="56"/>
      <c r="EP159" s="56"/>
      <c r="EQ159" s="56"/>
      <c r="ER159" s="56"/>
      <c r="ES159" s="56"/>
      <c r="ET159" s="56"/>
      <c r="EU159" s="56"/>
      <c r="EV159" s="56"/>
      <c r="EW159" s="56"/>
      <c r="EX159" s="56"/>
      <c r="EY159" s="56"/>
      <c r="EZ159" s="56"/>
      <c r="FA159" s="56"/>
      <c r="FB159" s="56"/>
      <c r="FC159" s="56"/>
      <c r="FD159" s="56"/>
      <c r="FE159" s="56"/>
      <c r="FF159" s="56"/>
      <c r="FG159" s="56"/>
      <c r="FH159" s="56"/>
      <c r="FI159" s="56"/>
      <c r="FJ159" s="56"/>
      <c r="FK159" s="56"/>
      <c r="FL159" s="56"/>
      <c r="FM159" s="56"/>
      <c r="FN159" s="56"/>
      <c r="FO159" s="56"/>
      <c r="FP159" s="56"/>
      <c r="FQ159" s="56"/>
      <c r="FR159" s="56"/>
      <c r="FS159" s="56"/>
      <c r="FT159" s="56"/>
      <c r="FU159" s="56"/>
      <c r="FV159" s="56"/>
      <c r="FW159" s="56"/>
      <c r="FX159" s="56"/>
      <c r="FY159" s="56"/>
      <c r="FZ159" s="56"/>
      <c r="GA159" s="56"/>
      <c r="GB159" s="56"/>
      <c r="GC159" s="56"/>
      <c r="GD159" s="56"/>
      <c r="GE159" s="56"/>
      <c r="GF159" s="56"/>
      <c r="GG159" s="56"/>
      <c r="GH159" s="56"/>
      <c r="GI159" s="56"/>
      <c r="GJ159" s="56"/>
      <c r="GK159" s="56"/>
      <c r="GL159" s="56"/>
      <c r="GM159" s="56"/>
      <c r="GN159" s="56"/>
      <c r="GO159" s="56"/>
      <c r="GP159" s="56"/>
      <c r="GQ159" s="56"/>
      <c r="GR159" s="56"/>
      <c r="GS159" s="56"/>
      <c r="GT159" s="56"/>
      <c r="GU159" s="56"/>
      <c r="GV159" s="56"/>
      <c r="GW159" s="56"/>
      <c r="GX159" s="56"/>
      <c r="GY159" s="56"/>
      <c r="GZ159" s="56"/>
      <c r="HA159" s="56"/>
      <c r="HB159" s="56"/>
      <c r="HC159" s="56"/>
      <c r="HD159" s="56"/>
      <c r="HE159" s="56"/>
      <c r="HF159" s="56"/>
      <c r="HG159" s="56"/>
      <c r="HH159" s="56"/>
      <c r="HI159" s="56"/>
      <c r="HJ159" s="56"/>
      <c r="HK159" s="56"/>
      <c r="HL159" s="56"/>
      <c r="HM159" s="56"/>
      <c r="HN159" s="56"/>
      <c r="HO159" s="56"/>
      <c r="HP159" s="56"/>
      <c r="HQ159" s="56"/>
      <c r="HR159" s="56"/>
      <c r="HS159" s="56"/>
      <c r="HT159" s="56"/>
      <c r="HU159" s="56"/>
      <c r="HV159" s="56"/>
      <c r="HW159" s="56"/>
      <c r="HX159" s="56"/>
      <c r="HY159" s="56"/>
      <c r="HZ159" s="56"/>
      <c r="IA159" s="56"/>
      <c r="IB159" s="56"/>
      <c r="IC159" s="56"/>
      <c r="ID159" s="56"/>
      <c r="IE159" s="56"/>
      <c r="IF159" s="56"/>
      <c r="IG159" s="56"/>
      <c r="IH159" s="56"/>
      <c r="II159" s="56"/>
      <c r="IJ159" s="56"/>
      <c r="IK159" s="56"/>
      <c r="IL159" s="56"/>
      <c r="IM159" s="56"/>
      <c r="IN159" s="56"/>
    </row>
    <row r="160" spans="1:254" s="56" customFormat="1" ht="30">
      <c r="A160" s="59"/>
      <c r="B160" s="77" t="s">
        <v>403</v>
      </c>
      <c r="C160" s="106">
        <f t="shared" ref="C160:H160" si="91">C161+C164+C165+C168</f>
        <v>0</v>
      </c>
      <c r="D160" s="106">
        <f t="shared" si="91"/>
        <v>0</v>
      </c>
      <c r="E160" s="106">
        <f t="shared" si="91"/>
        <v>0</v>
      </c>
      <c r="F160" s="106">
        <f t="shared" si="91"/>
        <v>0</v>
      </c>
      <c r="G160" s="106">
        <f t="shared" si="91"/>
        <v>0</v>
      </c>
      <c r="H160" s="106">
        <f t="shared" si="91"/>
        <v>0</v>
      </c>
      <c r="I160" s="55"/>
      <c r="J160" s="55"/>
      <c r="K160" s="55"/>
      <c r="IO160" s="39"/>
      <c r="IP160" s="39"/>
      <c r="IQ160" s="39"/>
      <c r="IR160" s="39"/>
      <c r="IS160" s="39"/>
      <c r="IT160" s="39"/>
    </row>
    <row r="161" spans="1:254" s="56" customFormat="1">
      <c r="A161" s="59"/>
      <c r="B161" s="78" t="s">
        <v>404</v>
      </c>
      <c r="C161" s="106">
        <f t="shared" ref="C161:H161" si="92">C162+C163</f>
        <v>0</v>
      </c>
      <c r="D161" s="106">
        <f t="shared" si="92"/>
        <v>0</v>
      </c>
      <c r="E161" s="106">
        <f t="shared" si="92"/>
        <v>0</v>
      </c>
      <c r="F161" s="106">
        <f t="shared" si="92"/>
        <v>0</v>
      </c>
      <c r="G161" s="106">
        <f t="shared" si="92"/>
        <v>0</v>
      </c>
      <c r="H161" s="106">
        <f t="shared" si="92"/>
        <v>0</v>
      </c>
      <c r="I161" s="55"/>
      <c r="J161" s="55"/>
      <c r="K161" s="55"/>
      <c r="IO161" s="39"/>
      <c r="IP161" s="39"/>
      <c r="IQ161" s="39"/>
      <c r="IR161" s="39"/>
      <c r="IS161" s="39"/>
      <c r="IT161" s="39"/>
    </row>
    <row r="162" spans="1:254">
      <c r="A162" s="59"/>
      <c r="B162" s="78" t="s">
        <v>368</v>
      </c>
      <c r="C162" s="106"/>
      <c r="D162" s="54"/>
      <c r="E162" s="54"/>
      <c r="F162" s="54"/>
      <c r="G162" s="83"/>
      <c r="H162" s="83"/>
      <c r="I162" s="55"/>
      <c r="J162" s="55"/>
      <c r="K162" s="55"/>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c r="DB162" s="56"/>
      <c r="DC162" s="56"/>
      <c r="DD162" s="56"/>
      <c r="DE162" s="56"/>
      <c r="DF162" s="56"/>
      <c r="DG162" s="56"/>
      <c r="DH162" s="56"/>
      <c r="DI162" s="56"/>
      <c r="DJ162" s="56"/>
      <c r="DK162" s="56"/>
      <c r="DL162" s="56"/>
      <c r="DM162" s="56"/>
      <c r="DN162" s="56"/>
      <c r="DO162" s="56"/>
      <c r="DP162" s="56"/>
      <c r="DQ162" s="56"/>
      <c r="DR162" s="56"/>
      <c r="DS162" s="56"/>
      <c r="DT162" s="56"/>
      <c r="DU162" s="56"/>
      <c r="DV162" s="56"/>
      <c r="DW162" s="56"/>
      <c r="DX162" s="56"/>
      <c r="DY162" s="56"/>
      <c r="DZ162" s="56"/>
      <c r="EA162" s="56"/>
      <c r="EB162" s="56"/>
      <c r="EC162" s="56"/>
      <c r="ED162" s="56"/>
      <c r="EE162" s="56"/>
      <c r="EF162" s="56"/>
      <c r="EG162" s="56"/>
      <c r="EH162" s="56"/>
      <c r="EI162" s="56"/>
      <c r="EJ162" s="56"/>
      <c r="EK162" s="56"/>
      <c r="EL162" s="56"/>
      <c r="EM162" s="56"/>
      <c r="EN162" s="56"/>
      <c r="EO162" s="56"/>
      <c r="EP162" s="56"/>
      <c r="EQ162" s="56"/>
      <c r="ER162" s="56"/>
      <c r="ES162" s="56"/>
      <c r="ET162" s="56"/>
      <c r="EU162" s="56"/>
      <c r="EV162" s="56"/>
      <c r="EW162" s="56"/>
      <c r="EX162" s="56"/>
      <c r="EY162" s="56"/>
      <c r="EZ162" s="56"/>
      <c r="FA162" s="56"/>
      <c r="FB162" s="56"/>
      <c r="FC162" s="56"/>
      <c r="FD162" s="56"/>
      <c r="FE162" s="56"/>
      <c r="FF162" s="56"/>
      <c r="FG162" s="56"/>
      <c r="FH162" s="56"/>
      <c r="FI162" s="56"/>
      <c r="FJ162" s="56"/>
      <c r="FK162" s="56"/>
      <c r="FL162" s="56"/>
      <c r="FM162" s="56"/>
      <c r="FN162" s="56"/>
      <c r="FO162" s="56"/>
      <c r="FP162" s="56"/>
      <c r="FQ162" s="56"/>
      <c r="FR162" s="56"/>
      <c r="FS162" s="56"/>
      <c r="FT162" s="56"/>
      <c r="FU162" s="56"/>
      <c r="FV162" s="56"/>
      <c r="FW162" s="56"/>
      <c r="FX162" s="56"/>
      <c r="FY162" s="56"/>
      <c r="FZ162" s="56"/>
      <c r="GA162" s="56"/>
      <c r="GB162" s="56"/>
      <c r="GC162" s="56"/>
      <c r="GD162" s="56"/>
      <c r="GE162" s="56"/>
      <c r="GF162" s="56"/>
      <c r="GG162" s="56"/>
      <c r="GH162" s="56"/>
      <c r="GI162" s="56"/>
      <c r="GJ162" s="56"/>
      <c r="GK162" s="56"/>
      <c r="GL162" s="56"/>
      <c r="GM162" s="56"/>
      <c r="GN162" s="56"/>
      <c r="GO162" s="56"/>
      <c r="GP162" s="56"/>
      <c r="GQ162" s="56"/>
      <c r="GR162" s="56"/>
      <c r="GS162" s="56"/>
      <c r="GT162" s="56"/>
      <c r="GU162" s="56"/>
      <c r="GV162" s="56"/>
      <c r="GW162" s="56"/>
      <c r="GX162" s="56"/>
      <c r="GY162" s="56"/>
      <c r="GZ162" s="56"/>
      <c r="HA162" s="56"/>
      <c r="HB162" s="56"/>
      <c r="HC162" s="56"/>
      <c r="HD162" s="56"/>
      <c r="HE162" s="56"/>
      <c r="HF162" s="56"/>
      <c r="HG162" s="56"/>
      <c r="HH162" s="56"/>
      <c r="HI162" s="56"/>
      <c r="HJ162" s="56"/>
      <c r="HK162" s="56"/>
      <c r="HL162" s="56"/>
      <c r="HM162" s="56"/>
      <c r="HN162" s="56"/>
      <c r="HO162" s="56"/>
      <c r="HP162" s="56"/>
      <c r="HQ162" s="56"/>
      <c r="HR162" s="56"/>
      <c r="HS162" s="56"/>
      <c r="HT162" s="56"/>
      <c r="HU162" s="56"/>
      <c r="HV162" s="56"/>
      <c r="HW162" s="56"/>
      <c r="HX162" s="56"/>
      <c r="HY162" s="56"/>
      <c r="HZ162" s="56"/>
      <c r="IA162" s="56"/>
      <c r="IB162" s="56"/>
      <c r="IC162" s="56"/>
      <c r="ID162" s="56"/>
      <c r="IE162" s="56"/>
      <c r="IF162" s="56"/>
      <c r="IG162" s="56"/>
      <c r="IH162" s="56"/>
      <c r="II162" s="56"/>
      <c r="IJ162" s="56"/>
      <c r="IK162" s="56"/>
      <c r="IL162" s="56"/>
      <c r="IM162" s="56"/>
      <c r="IN162" s="56"/>
      <c r="IO162" s="56"/>
      <c r="IP162" s="56"/>
      <c r="IQ162" s="56"/>
      <c r="IR162" s="56"/>
      <c r="IS162" s="56"/>
      <c r="IT162" s="56"/>
    </row>
    <row r="163" spans="1:254" ht="60">
      <c r="A163" s="52"/>
      <c r="B163" s="78" t="s">
        <v>370</v>
      </c>
      <c r="C163" s="106"/>
      <c r="D163" s="54"/>
      <c r="E163" s="54"/>
      <c r="F163" s="54"/>
      <c r="G163" s="83"/>
      <c r="H163" s="83"/>
      <c r="I163" s="55"/>
      <c r="J163" s="55"/>
      <c r="K163" s="55"/>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c r="FY163" s="56"/>
      <c r="FZ163" s="56"/>
      <c r="GA163" s="56"/>
      <c r="GB163" s="56"/>
      <c r="GC163" s="56"/>
      <c r="GD163" s="56"/>
      <c r="GE163" s="56"/>
      <c r="GF163" s="56"/>
      <c r="GG163" s="56"/>
      <c r="GH163" s="56"/>
      <c r="GI163" s="56"/>
      <c r="GJ163" s="56"/>
      <c r="GK163" s="56"/>
      <c r="GL163" s="56"/>
      <c r="GM163" s="56"/>
      <c r="GN163" s="56"/>
      <c r="GO163" s="56"/>
      <c r="GP163" s="56"/>
      <c r="GQ163" s="56"/>
      <c r="GR163" s="56"/>
      <c r="GS163" s="56"/>
      <c r="GT163" s="56"/>
      <c r="GU163" s="56"/>
      <c r="GV163" s="56"/>
      <c r="GW163" s="56"/>
      <c r="GX163" s="56"/>
      <c r="GY163" s="56"/>
      <c r="GZ163" s="56"/>
      <c r="HA163" s="56"/>
      <c r="HB163" s="56"/>
      <c r="HC163" s="56"/>
      <c r="HD163" s="56"/>
      <c r="HE163" s="56"/>
      <c r="HF163" s="56"/>
      <c r="HG163" s="56"/>
      <c r="HH163" s="56"/>
      <c r="HI163" s="56"/>
      <c r="HJ163" s="56"/>
      <c r="HK163" s="56"/>
      <c r="HL163" s="56"/>
      <c r="HM163" s="56"/>
      <c r="HN163" s="56"/>
      <c r="HO163" s="56"/>
      <c r="HP163" s="56"/>
      <c r="HQ163" s="56"/>
      <c r="HR163" s="56"/>
      <c r="HS163" s="56"/>
      <c r="HT163" s="56"/>
      <c r="HU163" s="56"/>
      <c r="HV163" s="56"/>
      <c r="HW163" s="56"/>
      <c r="HX163" s="56"/>
      <c r="HY163" s="56"/>
      <c r="HZ163" s="56"/>
      <c r="IA163" s="56"/>
      <c r="IB163" s="56"/>
      <c r="IC163" s="56"/>
      <c r="ID163" s="56"/>
      <c r="IE163" s="56"/>
      <c r="IF163" s="56"/>
      <c r="IG163" s="56"/>
      <c r="IH163" s="56"/>
      <c r="II163" s="56"/>
      <c r="IJ163" s="56"/>
      <c r="IK163" s="56"/>
      <c r="IL163" s="56"/>
      <c r="IM163" s="56"/>
      <c r="IN163" s="56"/>
      <c r="IO163" s="56"/>
      <c r="IP163" s="56"/>
      <c r="IQ163" s="56"/>
      <c r="IR163" s="56"/>
      <c r="IS163" s="56"/>
      <c r="IT163" s="56"/>
    </row>
    <row r="164" spans="1:254" ht="30">
      <c r="A164" s="52"/>
      <c r="B164" s="78" t="s">
        <v>405</v>
      </c>
      <c r="C164" s="106"/>
      <c r="D164" s="54"/>
      <c r="E164" s="54"/>
      <c r="F164" s="54"/>
      <c r="G164" s="83"/>
      <c r="H164" s="83"/>
      <c r="I164" s="55"/>
      <c r="J164" s="55"/>
      <c r="K164" s="55"/>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c r="GB164" s="56"/>
      <c r="GC164" s="56"/>
      <c r="GD164" s="56"/>
      <c r="GE164" s="56"/>
      <c r="GF164" s="56"/>
      <c r="GG164" s="56"/>
      <c r="GH164" s="56"/>
      <c r="GI164" s="56"/>
      <c r="GJ164" s="56"/>
      <c r="GK164" s="56"/>
      <c r="GL164" s="56"/>
      <c r="GM164" s="56"/>
      <c r="GN164" s="56"/>
      <c r="GO164" s="56"/>
      <c r="GP164" s="56"/>
      <c r="GQ164" s="56"/>
      <c r="GR164" s="56"/>
      <c r="GS164" s="56"/>
      <c r="GT164" s="56"/>
      <c r="GU164" s="56"/>
      <c r="GV164" s="56"/>
      <c r="GW164" s="56"/>
      <c r="GX164" s="56"/>
      <c r="GY164" s="56"/>
      <c r="GZ164" s="56"/>
      <c r="HA164" s="56"/>
      <c r="HB164" s="56"/>
      <c r="HC164" s="56"/>
      <c r="HD164" s="56"/>
      <c r="HE164" s="56"/>
      <c r="HF164" s="56"/>
      <c r="HG164" s="56"/>
      <c r="HH164" s="56"/>
      <c r="HI164" s="56"/>
      <c r="HJ164" s="56"/>
      <c r="HK164" s="56"/>
      <c r="HL164" s="56"/>
      <c r="HM164" s="56"/>
      <c r="HN164" s="56"/>
      <c r="HO164" s="56"/>
      <c r="HP164" s="56"/>
      <c r="HQ164" s="56"/>
      <c r="HR164" s="56"/>
      <c r="HS164" s="56"/>
      <c r="HT164" s="56"/>
      <c r="HU164" s="56"/>
      <c r="HV164" s="56"/>
      <c r="HW164" s="56"/>
      <c r="HX164" s="56"/>
      <c r="HY164" s="56"/>
      <c r="HZ164" s="56"/>
      <c r="IA164" s="56"/>
      <c r="IB164" s="56"/>
      <c r="IC164" s="56"/>
      <c r="ID164" s="56"/>
      <c r="IE164" s="56"/>
      <c r="IF164" s="56"/>
      <c r="IG164" s="56"/>
      <c r="IH164" s="56"/>
      <c r="II164" s="56"/>
      <c r="IJ164" s="56"/>
      <c r="IK164" s="56"/>
      <c r="IL164" s="56"/>
      <c r="IM164" s="56"/>
      <c r="IN164" s="56"/>
    </row>
    <row r="165" spans="1:254" ht="30">
      <c r="A165" s="52"/>
      <c r="B165" s="78" t="s">
        <v>406</v>
      </c>
      <c r="C165" s="106">
        <f t="shared" ref="C165:H165" si="93">C166+C167</f>
        <v>0</v>
      </c>
      <c r="D165" s="106">
        <f t="shared" si="93"/>
        <v>0</v>
      </c>
      <c r="E165" s="106">
        <f t="shared" si="93"/>
        <v>0</v>
      </c>
      <c r="F165" s="106">
        <f t="shared" si="93"/>
        <v>0</v>
      </c>
      <c r="G165" s="106">
        <f t="shared" si="93"/>
        <v>0</v>
      </c>
      <c r="H165" s="106">
        <f t="shared" si="93"/>
        <v>0</v>
      </c>
      <c r="I165" s="55"/>
      <c r="J165" s="55"/>
      <c r="K165" s="55"/>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c r="DM165" s="56"/>
      <c r="DN165" s="56"/>
      <c r="DO165" s="56"/>
      <c r="DP165" s="56"/>
      <c r="DQ165" s="56"/>
      <c r="DR165" s="56"/>
      <c r="DS165" s="56"/>
      <c r="DT165" s="56"/>
      <c r="DU165" s="56"/>
      <c r="DV165" s="56"/>
      <c r="DW165" s="56"/>
      <c r="DX165" s="56"/>
      <c r="DY165" s="56"/>
      <c r="DZ165" s="56"/>
      <c r="EA165" s="56"/>
      <c r="EB165" s="56"/>
      <c r="EC165" s="56"/>
      <c r="ED165" s="56"/>
      <c r="EE165" s="56"/>
      <c r="EF165" s="56"/>
      <c r="EG165" s="56"/>
      <c r="EH165" s="56"/>
      <c r="EI165" s="56"/>
      <c r="EJ165" s="56"/>
      <c r="EK165" s="56"/>
      <c r="EL165" s="56"/>
      <c r="EM165" s="56"/>
      <c r="EN165" s="56"/>
      <c r="EO165" s="56"/>
      <c r="EP165" s="56"/>
      <c r="EQ165" s="56"/>
      <c r="ER165" s="56"/>
      <c r="ES165" s="56"/>
      <c r="ET165" s="56"/>
      <c r="EU165" s="56"/>
      <c r="EV165" s="56"/>
      <c r="EW165" s="56"/>
      <c r="EX165" s="56"/>
      <c r="EY165" s="56"/>
      <c r="EZ165" s="56"/>
      <c r="FA165" s="56"/>
      <c r="FB165" s="56"/>
      <c r="FC165" s="56"/>
      <c r="FD165" s="56"/>
      <c r="FE165" s="56"/>
      <c r="FF165" s="56"/>
      <c r="FG165" s="56"/>
      <c r="FH165" s="56"/>
      <c r="FI165" s="56"/>
      <c r="FJ165" s="56"/>
      <c r="FK165" s="56"/>
      <c r="FL165" s="56"/>
      <c r="FM165" s="56"/>
      <c r="FN165" s="56"/>
      <c r="FO165" s="56"/>
      <c r="FP165" s="56"/>
      <c r="FQ165" s="56"/>
      <c r="FR165" s="56"/>
      <c r="FS165" s="56"/>
      <c r="FT165" s="56"/>
      <c r="FU165" s="56"/>
      <c r="FV165" s="56"/>
      <c r="FW165" s="56"/>
      <c r="FX165" s="56"/>
      <c r="FY165" s="56"/>
      <c r="FZ165" s="56"/>
      <c r="GA165" s="56"/>
      <c r="GB165" s="56"/>
      <c r="GC165" s="56"/>
      <c r="GD165" s="56"/>
      <c r="GE165" s="56"/>
      <c r="GF165" s="56"/>
      <c r="GG165" s="56"/>
      <c r="GH165" s="56"/>
      <c r="GI165" s="56"/>
      <c r="GJ165" s="56"/>
      <c r="GK165" s="56"/>
      <c r="GL165" s="56"/>
      <c r="GM165" s="56"/>
      <c r="GN165" s="56"/>
      <c r="GO165" s="56"/>
      <c r="GP165" s="56"/>
      <c r="GQ165" s="56"/>
      <c r="GR165" s="56"/>
      <c r="GS165" s="56"/>
      <c r="GT165" s="56"/>
      <c r="GU165" s="56"/>
      <c r="GV165" s="56"/>
      <c r="GW165" s="56"/>
      <c r="GX165" s="56"/>
      <c r="GY165" s="56"/>
      <c r="GZ165" s="56"/>
      <c r="HA165" s="56"/>
      <c r="HB165" s="56"/>
      <c r="HC165" s="56"/>
      <c r="HD165" s="56"/>
      <c r="HE165" s="56"/>
      <c r="HF165" s="56"/>
      <c r="HG165" s="56"/>
      <c r="HH165" s="56"/>
      <c r="HI165" s="56"/>
      <c r="HJ165" s="56"/>
      <c r="HK165" s="56"/>
      <c r="HL165" s="56"/>
      <c r="HM165" s="56"/>
      <c r="HN165" s="56"/>
      <c r="HO165" s="56"/>
      <c r="HP165" s="56"/>
      <c r="HQ165" s="56"/>
      <c r="HR165" s="56"/>
      <c r="HS165" s="56"/>
      <c r="HT165" s="56"/>
      <c r="HU165" s="56"/>
      <c r="HV165" s="56"/>
      <c r="HW165" s="56"/>
      <c r="HX165" s="56"/>
      <c r="HY165" s="56"/>
      <c r="HZ165" s="56"/>
      <c r="IA165" s="56"/>
      <c r="IB165" s="56"/>
      <c r="IC165" s="56"/>
      <c r="ID165" s="56"/>
      <c r="IE165" s="56"/>
      <c r="IF165" s="56"/>
      <c r="IG165" s="56"/>
      <c r="IH165" s="56"/>
      <c r="II165" s="56"/>
      <c r="IJ165" s="56"/>
      <c r="IK165" s="56"/>
      <c r="IL165" s="56"/>
      <c r="IM165" s="56"/>
      <c r="IN165" s="56"/>
    </row>
    <row r="166" spans="1:254">
      <c r="A166" s="52"/>
      <c r="B166" s="78" t="s">
        <v>368</v>
      </c>
      <c r="C166" s="106"/>
      <c r="D166" s="54"/>
      <c r="E166" s="54"/>
      <c r="F166" s="54"/>
      <c r="G166" s="83"/>
      <c r="H166" s="83"/>
      <c r="I166" s="55"/>
      <c r="J166" s="55"/>
      <c r="K166" s="55"/>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c r="FO166" s="56"/>
      <c r="FP166" s="56"/>
      <c r="FQ166" s="56"/>
      <c r="FR166" s="56"/>
      <c r="FS166" s="56"/>
      <c r="FT166" s="56"/>
      <c r="FU166" s="56"/>
      <c r="FV166" s="56"/>
      <c r="FW166" s="56"/>
      <c r="FX166" s="56"/>
      <c r="FY166" s="56"/>
      <c r="FZ166" s="56"/>
      <c r="GA166" s="56"/>
      <c r="GB166" s="56"/>
      <c r="GC166" s="56"/>
      <c r="GD166" s="56"/>
      <c r="GE166" s="56"/>
      <c r="GF166" s="56"/>
      <c r="GG166" s="56"/>
      <c r="GH166" s="56"/>
      <c r="GI166" s="56"/>
      <c r="GJ166" s="56"/>
      <c r="GK166" s="56"/>
      <c r="GL166" s="56"/>
      <c r="GM166" s="56"/>
      <c r="GN166" s="56"/>
      <c r="GO166" s="56"/>
      <c r="GP166" s="56"/>
      <c r="GQ166" s="56"/>
      <c r="GR166" s="56"/>
      <c r="GS166" s="56"/>
      <c r="GT166" s="56"/>
      <c r="GU166" s="56"/>
      <c r="GV166" s="56"/>
      <c r="GW166" s="56"/>
      <c r="GX166" s="56"/>
      <c r="GY166" s="56"/>
      <c r="GZ166" s="56"/>
      <c r="HA166" s="56"/>
      <c r="HB166" s="56"/>
      <c r="HC166" s="56"/>
      <c r="HD166" s="56"/>
      <c r="HE166" s="56"/>
      <c r="HF166" s="56"/>
      <c r="HG166" s="56"/>
      <c r="HH166" s="56"/>
      <c r="HI166" s="56"/>
      <c r="HJ166" s="56"/>
      <c r="HK166" s="56"/>
      <c r="HL166" s="56"/>
      <c r="HM166" s="56"/>
      <c r="HN166" s="56"/>
      <c r="HO166" s="56"/>
      <c r="HP166" s="56"/>
      <c r="HQ166" s="56"/>
      <c r="HR166" s="56"/>
      <c r="HS166" s="56"/>
      <c r="HT166" s="56"/>
      <c r="HU166" s="56"/>
      <c r="HV166" s="56"/>
      <c r="HW166" s="56"/>
      <c r="HX166" s="56"/>
      <c r="HY166" s="56"/>
      <c r="HZ166" s="56"/>
      <c r="IA166" s="56"/>
      <c r="IB166" s="56"/>
      <c r="IC166" s="56"/>
      <c r="ID166" s="56"/>
      <c r="IE166" s="56"/>
      <c r="IF166" s="56"/>
      <c r="IG166" s="56"/>
      <c r="IH166" s="56"/>
      <c r="II166" s="56"/>
      <c r="IJ166" s="56"/>
      <c r="IK166" s="56"/>
      <c r="IL166" s="56"/>
      <c r="IM166" s="56"/>
      <c r="IN166" s="56"/>
    </row>
    <row r="167" spans="1:254" ht="60">
      <c r="A167" s="59"/>
      <c r="B167" s="78" t="s">
        <v>370</v>
      </c>
      <c r="C167" s="106"/>
      <c r="D167" s="54"/>
      <c r="E167" s="54"/>
      <c r="F167" s="54"/>
      <c r="G167" s="83"/>
      <c r="H167" s="83"/>
      <c r="I167" s="55"/>
      <c r="J167" s="55"/>
      <c r="K167" s="55"/>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c r="FS167" s="56"/>
      <c r="FT167" s="56"/>
      <c r="FU167" s="56"/>
      <c r="FV167" s="56"/>
      <c r="FW167" s="56"/>
      <c r="FX167" s="56"/>
      <c r="FY167" s="56"/>
      <c r="FZ167" s="56"/>
      <c r="GA167" s="56"/>
      <c r="GB167" s="56"/>
      <c r="GC167" s="56"/>
      <c r="GD167" s="56"/>
      <c r="GE167" s="56"/>
      <c r="GF167" s="56"/>
      <c r="GG167" s="56"/>
      <c r="GH167" s="56"/>
      <c r="GI167" s="56"/>
      <c r="GJ167" s="56"/>
      <c r="GK167" s="56"/>
      <c r="GL167" s="56"/>
      <c r="GM167" s="56"/>
      <c r="GN167" s="56"/>
      <c r="GO167" s="56"/>
      <c r="GP167" s="56"/>
      <c r="GQ167" s="56"/>
      <c r="GR167" s="56"/>
      <c r="GS167" s="56"/>
      <c r="GT167" s="56"/>
      <c r="GU167" s="56"/>
      <c r="GV167" s="56"/>
      <c r="GW167" s="56"/>
      <c r="GX167" s="56"/>
      <c r="GY167" s="56"/>
      <c r="GZ167" s="56"/>
      <c r="HA167" s="56"/>
      <c r="HB167" s="56"/>
      <c r="HC167" s="56"/>
      <c r="HD167" s="56"/>
      <c r="HE167" s="56"/>
      <c r="HF167" s="56"/>
      <c r="HG167" s="56"/>
      <c r="HH167" s="56"/>
      <c r="HI167" s="56"/>
      <c r="HJ167" s="56"/>
      <c r="HK167" s="56"/>
      <c r="HL167" s="56"/>
      <c r="HM167" s="56"/>
      <c r="HN167" s="56"/>
      <c r="HO167" s="56"/>
      <c r="HP167" s="56"/>
      <c r="HQ167" s="56"/>
      <c r="HR167" s="56"/>
      <c r="HS167" s="56"/>
      <c r="HT167" s="56"/>
      <c r="HU167" s="56"/>
      <c r="HV167" s="56"/>
      <c r="HW167" s="56"/>
      <c r="HX167" s="56"/>
      <c r="HY167" s="56"/>
      <c r="HZ167" s="56"/>
      <c r="IA167" s="56"/>
      <c r="IB167" s="56"/>
      <c r="IC167" s="56"/>
      <c r="ID167" s="56"/>
      <c r="IE167" s="56"/>
      <c r="IF167" s="56"/>
      <c r="IG167" s="56"/>
      <c r="IH167" s="56"/>
      <c r="II167" s="56"/>
      <c r="IJ167" s="56"/>
      <c r="IK167" s="56"/>
      <c r="IL167" s="56"/>
      <c r="IM167" s="56"/>
      <c r="IN167" s="56"/>
    </row>
    <row r="168" spans="1:254" ht="30" customHeight="1">
      <c r="A168" s="59"/>
      <c r="B168" s="78" t="s">
        <v>407</v>
      </c>
      <c r="C168" s="106"/>
      <c r="D168" s="54"/>
      <c r="E168" s="54"/>
      <c r="F168" s="54"/>
      <c r="G168" s="83"/>
      <c r="H168" s="83"/>
      <c r="I168" s="55"/>
      <c r="J168" s="55"/>
      <c r="K168" s="55"/>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c r="EA168" s="56"/>
      <c r="EB168" s="56"/>
      <c r="EC168" s="56"/>
      <c r="ED168" s="56"/>
      <c r="EE168" s="56"/>
      <c r="EF168" s="56"/>
      <c r="EG168" s="56"/>
      <c r="EH168" s="56"/>
      <c r="EI168" s="56"/>
      <c r="EJ168" s="56"/>
      <c r="EK168" s="56"/>
      <c r="EL168" s="56"/>
      <c r="EM168" s="56"/>
      <c r="EN168" s="56"/>
      <c r="EO168" s="56"/>
      <c r="EP168" s="56"/>
      <c r="EQ168" s="56"/>
      <c r="ER168" s="56"/>
      <c r="ES168" s="56"/>
      <c r="ET168" s="56"/>
      <c r="EU168" s="56"/>
      <c r="EV168" s="56"/>
      <c r="EW168" s="56"/>
      <c r="EX168" s="56"/>
      <c r="EY168" s="56"/>
      <c r="EZ168" s="56"/>
      <c r="FA168" s="56"/>
      <c r="FB168" s="56"/>
      <c r="FC168" s="56"/>
      <c r="FD168" s="56"/>
      <c r="FE168" s="56"/>
      <c r="FF168" s="56"/>
      <c r="FG168" s="56"/>
      <c r="FH168" s="56"/>
      <c r="FI168" s="56"/>
      <c r="FJ168" s="56"/>
      <c r="FK168" s="56"/>
      <c r="FL168" s="56"/>
      <c r="FM168" s="56"/>
      <c r="FN168" s="56"/>
      <c r="FO168" s="56"/>
      <c r="FP168" s="56"/>
      <c r="FQ168" s="56"/>
      <c r="FR168" s="56"/>
      <c r="FS168" s="56"/>
      <c r="FT168" s="56"/>
      <c r="FU168" s="56"/>
      <c r="FV168" s="56"/>
      <c r="FW168" s="56"/>
      <c r="FX168" s="56"/>
      <c r="FY168" s="56"/>
      <c r="FZ168" s="56"/>
      <c r="GA168" s="56"/>
      <c r="GB168" s="56"/>
      <c r="GC168" s="56"/>
      <c r="GD168" s="56"/>
      <c r="GE168" s="56"/>
      <c r="GF168" s="56"/>
      <c r="GG168" s="56"/>
      <c r="GH168" s="56"/>
      <c r="GI168" s="56"/>
      <c r="GJ168" s="56"/>
      <c r="GK168" s="56"/>
      <c r="GL168" s="56"/>
      <c r="GM168" s="56"/>
      <c r="GN168" s="56"/>
      <c r="GO168" s="56"/>
      <c r="GP168" s="56"/>
      <c r="GQ168" s="56"/>
      <c r="GR168" s="56"/>
      <c r="GS168" s="56"/>
      <c r="GT168" s="56"/>
      <c r="GU168" s="56"/>
      <c r="GV168" s="56"/>
      <c r="GW168" s="56"/>
      <c r="GX168" s="56"/>
      <c r="GY168" s="56"/>
      <c r="GZ168" s="56"/>
      <c r="HA168" s="56"/>
      <c r="HB168" s="56"/>
      <c r="HC168" s="56"/>
      <c r="HD168" s="56"/>
      <c r="HE168" s="56"/>
      <c r="HF168" s="56"/>
      <c r="HG168" s="56"/>
      <c r="HH168" s="56"/>
      <c r="HI168" s="56"/>
      <c r="HJ168" s="56"/>
      <c r="HK168" s="56"/>
      <c r="HL168" s="56"/>
      <c r="HM168" s="56"/>
      <c r="HN168" s="56"/>
      <c r="HO168" s="56"/>
      <c r="HP168" s="56"/>
      <c r="HQ168" s="56"/>
      <c r="HR168" s="56"/>
      <c r="HS168" s="56"/>
      <c r="HT168" s="56"/>
      <c r="HU168" s="56"/>
      <c r="HV168" s="56"/>
      <c r="HW168" s="56"/>
      <c r="HX168" s="56"/>
      <c r="HY168" s="56"/>
      <c r="HZ168" s="56"/>
      <c r="IA168" s="56"/>
      <c r="IB168" s="56"/>
      <c r="IC168" s="56"/>
      <c r="ID168" s="56"/>
      <c r="IE168" s="56"/>
      <c r="IF168" s="56"/>
      <c r="IG168" s="56"/>
      <c r="IH168" s="56"/>
      <c r="II168" s="56"/>
      <c r="IJ168" s="56"/>
      <c r="IK168" s="56"/>
      <c r="IL168" s="56"/>
      <c r="IM168" s="56"/>
      <c r="IN168" s="56"/>
    </row>
    <row r="169" spans="1:254" ht="16.5" customHeight="1">
      <c r="A169" s="59"/>
      <c r="B169" s="62" t="s">
        <v>361</v>
      </c>
      <c r="C169" s="106"/>
      <c r="D169" s="54"/>
      <c r="E169" s="54"/>
      <c r="F169" s="54"/>
      <c r="G169" s="83"/>
      <c r="H169" s="83"/>
      <c r="I169" s="55"/>
      <c r="J169" s="55"/>
      <c r="K169" s="55"/>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DL169" s="56"/>
      <c r="DM169" s="56"/>
      <c r="DN169" s="56"/>
      <c r="DO169" s="56"/>
      <c r="DP169" s="56"/>
      <c r="DQ169" s="56"/>
      <c r="DR169" s="56"/>
      <c r="DS169" s="56"/>
      <c r="DT169" s="56"/>
      <c r="DU169" s="56"/>
      <c r="DV169" s="56"/>
      <c r="DW169" s="56"/>
      <c r="DX169" s="56"/>
      <c r="DY169" s="56"/>
      <c r="DZ169" s="56"/>
      <c r="EA169" s="56"/>
      <c r="EB169" s="56"/>
      <c r="EC169" s="56"/>
      <c r="ED169" s="56"/>
      <c r="EE169" s="56"/>
      <c r="EF169" s="56"/>
      <c r="EG169" s="56"/>
      <c r="EH169" s="56"/>
      <c r="EI169" s="56"/>
      <c r="EJ169" s="56"/>
      <c r="EK169" s="56"/>
      <c r="EL169" s="56"/>
      <c r="EM169" s="56"/>
      <c r="EN169" s="56"/>
      <c r="EO169" s="56"/>
      <c r="EP169" s="56"/>
      <c r="EQ169" s="56"/>
      <c r="ER169" s="56"/>
      <c r="ES169" s="56"/>
      <c r="ET169" s="56"/>
      <c r="EU169" s="56"/>
      <c r="EV169" s="56"/>
      <c r="EW169" s="56"/>
      <c r="EX169" s="56"/>
      <c r="EY169" s="56"/>
      <c r="EZ169" s="56"/>
      <c r="FA169" s="56"/>
      <c r="FB169" s="56"/>
      <c r="FC169" s="56"/>
      <c r="FD169" s="56"/>
      <c r="FE169" s="56"/>
      <c r="FF169" s="56"/>
      <c r="FG169" s="56"/>
      <c r="FH169" s="56"/>
      <c r="FI169" s="56"/>
      <c r="FJ169" s="56"/>
      <c r="FK169" s="56"/>
      <c r="FL169" s="56"/>
      <c r="FM169" s="56"/>
      <c r="FN169" s="56"/>
      <c r="FO169" s="56"/>
      <c r="FP169" s="56"/>
      <c r="FQ169" s="56"/>
      <c r="FR169" s="56"/>
      <c r="FS169" s="56"/>
      <c r="FT169" s="56"/>
      <c r="FU169" s="56"/>
      <c r="FV169" s="56"/>
      <c r="FW169" s="56"/>
      <c r="FX169" s="56"/>
      <c r="FY169" s="56"/>
      <c r="FZ169" s="56"/>
      <c r="GA169" s="56"/>
      <c r="GB169" s="56"/>
      <c r="GC169" s="56"/>
      <c r="GD169" s="56"/>
      <c r="GE169" s="56"/>
      <c r="GF169" s="56"/>
      <c r="GG169" s="56"/>
      <c r="GH169" s="56"/>
      <c r="GI169" s="56"/>
      <c r="GJ169" s="56"/>
      <c r="GK169" s="56"/>
      <c r="GL169" s="56"/>
      <c r="GM169" s="56"/>
      <c r="GN169" s="56"/>
      <c r="GO169" s="56"/>
      <c r="GP169" s="56"/>
      <c r="GQ169" s="56"/>
      <c r="GR169" s="56"/>
      <c r="GS169" s="56"/>
      <c r="GT169" s="56"/>
      <c r="GU169" s="56"/>
      <c r="GV169" s="56"/>
      <c r="GW169" s="56"/>
      <c r="GX169" s="56"/>
      <c r="GY169" s="56"/>
      <c r="GZ169" s="56"/>
      <c r="HA169" s="56"/>
      <c r="HB169" s="56"/>
      <c r="HC169" s="56"/>
      <c r="HD169" s="56"/>
      <c r="HE169" s="56"/>
      <c r="HF169" s="56"/>
      <c r="HG169" s="56"/>
      <c r="HH169" s="56"/>
      <c r="HI169" s="56"/>
      <c r="HJ169" s="56"/>
      <c r="HK169" s="56"/>
      <c r="HL169" s="56"/>
      <c r="HM169" s="56"/>
      <c r="HN169" s="56"/>
      <c r="HO169" s="56"/>
      <c r="HP169" s="56"/>
      <c r="HQ169" s="56"/>
      <c r="HR169" s="56"/>
      <c r="HS169" s="56"/>
      <c r="HT169" s="56"/>
      <c r="HU169" s="56"/>
      <c r="HV169" s="56"/>
      <c r="HW169" s="56"/>
      <c r="HX169" s="56"/>
      <c r="HY169" s="56"/>
      <c r="HZ169" s="56"/>
      <c r="IA169" s="56"/>
      <c r="IB169" s="56"/>
      <c r="IC169" s="56"/>
      <c r="ID169" s="56"/>
      <c r="IE169" s="56"/>
      <c r="IF169" s="56"/>
      <c r="IG169" s="56"/>
      <c r="IH169" s="56"/>
      <c r="II169" s="56"/>
      <c r="IJ169" s="56"/>
      <c r="IK169" s="56"/>
      <c r="IL169" s="56"/>
      <c r="IM169" s="56"/>
      <c r="IN169" s="56"/>
    </row>
    <row r="170" spans="1:254">
      <c r="A170" s="52" t="s">
        <v>408</v>
      </c>
      <c r="B170" s="62" t="s">
        <v>409</v>
      </c>
      <c r="C170" s="105">
        <f t="shared" ref="C170:H170" si="94">C171+C172</f>
        <v>0</v>
      </c>
      <c r="D170" s="105">
        <f t="shared" si="94"/>
        <v>18165570</v>
      </c>
      <c r="E170" s="105">
        <f t="shared" si="94"/>
        <v>18165570</v>
      </c>
      <c r="F170" s="105">
        <f t="shared" si="94"/>
        <v>13770930</v>
      </c>
      <c r="G170" s="105">
        <f t="shared" si="94"/>
        <v>11228416.09</v>
      </c>
      <c r="H170" s="105">
        <f t="shared" si="94"/>
        <v>2179974.9900000002</v>
      </c>
      <c r="I170" s="55"/>
      <c r="J170" s="55"/>
      <c r="K170" s="55"/>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6"/>
      <c r="DG170" s="56"/>
      <c r="DH170" s="56"/>
      <c r="DI170" s="56"/>
      <c r="DJ170" s="56"/>
      <c r="DK170" s="56"/>
      <c r="DL170" s="56"/>
      <c r="DM170" s="56"/>
      <c r="DN170" s="56"/>
      <c r="DO170" s="56"/>
      <c r="DP170" s="56"/>
      <c r="DQ170" s="56"/>
      <c r="DR170" s="56"/>
      <c r="DS170" s="56"/>
      <c r="DT170" s="56"/>
      <c r="DU170" s="56"/>
      <c r="DV170" s="56"/>
      <c r="DW170" s="56"/>
      <c r="DX170" s="56"/>
      <c r="DY170" s="56"/>
      <c r="DZ170" s="56"/>
      <c r="EA170" s="56"/>
      <c r="EB170" s="56"/>
      <c r="EC170" s="56"/>
      <c r="ED170" s="56"/>
      <c r="EE170" s="56"/>
      <c r="EF170" s="56"/>
      <c r="EG170" s="56"/>
      <c r="EH170" s="56"/>
      <c r="EI170" s="56"/>
      <c r="EJ170" s="56"/>
      <c r="EK170" s="56"/>
      <c r="EL170" s="56"/>
      <c r="EM170" s="56"/>
      <c r="EN170" s="56"/>
      <c r="EO170" s="56"/>
      <c r="EP170" s="56"/>
      <c r="EQ170" s="56"/>
      <c r="ER170" s="56"/>
      <c r="ES170" s="56"/>
      <c r="ET170" s="56"/>
      <c r="EU170" s="56"/>
      <c r="EV170" s="56"/>
      <c r="EW170" s="56"/>
      <c r="EX170" s="56"/>
      <c r="EY170" s="56"/>
      <c r="EZ170" s="56"/>
      <c r="FA170" s="56"/>
      <c r="FB170" s="56"/>
      <c r="FC170" s="56"/>
      <c r="FD170" s="56"/>
      <c r="FE170" s="56"/>
      <c r="FF170" s="56"/>
      <c r="FG170" s="56"/>
      <c r="FH170" s="56"/>
      <c r="FI170" s="56"/>
      <c r="FJ170" s="56"/>
      <c r="FK170" s="56"/>
      <c r="FL170" s="56"/>
      <c r="FM170" s="56"/>
      <c r="FN170" s="56"/>
      <c r="FO170" s="56"/>
      <c r="FP170" s="56"/>
      <c r="FQ170" s="56"/>
      <c r="FR170" s="56"/>
      <c r="FS170" s="56"/>
      <c r="FT170" s="56"/>
      <c r="FU170" s="56"/>
      <c r="FV170" s="56"/>
      <c r="FW170" s="56"/>
      <c r="FX170" s="56"/>
      <c r="FY170" s="56"/>
      <c r="FZ170" s="56"/>
      <c r="GA170" s="56"/>
      <c r="GB170" s="56"/>
      <c r="GC170" s="56"/>
      <c r="GD170" s="56"/>
      <c r="GE170" s="56"/>
      <c r="GF170" s="56"/>
      <c r="GG170" s="56"/>
      <c r="GH170" s="56"/>
      <c r="GI170" s="56"/>
      <c r="GJ170" s="56"/>
      <c r="GK170" s="56"/>
      <c r="GL170" s="56"/>
      <c r="GM170" s="56"/>
      <c r="GN170" s="56"/>
      <c r="GO170" s="56"/>
      <c r="GP170" s="56"/>
      <c r="GQ170" s="56"/>
      <c r="GR170" s="56"/>
      <c r="GS170" s="56"/>
      <c r="GT170" s="56"/>
      <c r="GU170" s="56"/>
      <c r="GV170" s="56"/>
      <c r="GW170" s="56"/>
      <c r="GX170" s="56"/>
      <c r="GY170" s="56"/>
      <c r="GZ170" s="56"/>
      <c r="HA170" s="56"/>
      <c r="HB170" s="56"/>
      <c r="HC170" s="56"/>
      <c r="HD170" s="56"/>
      <c r="HE170" s="56"/>
      <c r="HF170" s="56"/>
      <c r="HG170" s="56"/>
      <c r="HH170" s="56"/>
      <c r="HI170" s="56"/>
      <c r="HJ170" s="56"/>
      <c r="HK170" s="56"/>
      <c r="HL170" s="56"/>
      <c r="HM170" s="56"/>
      <c r="HN170" s="56"/>
      <c r="HO170" s="56"/>
      <c r="HP170" s="56"/>
      <c r="HQ170" s="56"/>
      <c r="HR170" s="56"/>
      <c r="HS170" s="56"/>
      <c r="HT170" s="56"/>
      <c r="HU170" s="56"/>
      <c r="HV170" s="56"/>
      <c r="HW170" s="56"/>
      <c r="HX170" s="56"/>
      <c r="HY170" s="56"/>
      <c r="HZ170" s="56"/>
      <c r="IA170" s="56"/>
      <c r="IB170" s="56"/>
      <c r="IC170" s="56"/>
      <c r="ID170" s="56"/>
      <c r="IE170" s="56"/>
      <c r="IF170" s="56"/>
      <c r="IG170" s="56"/>
      <c r="IH170" s="56"/>
      <c r="II170" s="56"/>
      <c r="IJ170" s="56"/>
      <c r="IK170" s="56"/>
      <c r="IL170" s="56"/>
      <c r="IM170" s="56"/>
      <c r="IN170" s="56"/>
    </row>
    <row r="171" spans="1:254" ht="16.5" customHeight="1">
      <c r="A171" s="52"/>
      <c r="B171" s="62" t="s">
        <v>368</v>
      </c>
      <c r="C171" s="105"/>
      <c r="D171" s="54">
        <v>18165570</v>
      </c>
      <c r="E171" s="54">
        <v>18165570</v>
      </c>
      <c r="F171" s="54">
        <v>13770930</v>
      </c>
      <c r="G171" s="83">
        <f>4517000+2120000+2411441.1+2179974.99</f>
        <v>11228416.09</v>
      </c>
      <c r="H171" s="83">
        <v>2179974.9900000002</v>
      </c>
      <c r="I171" s="55"/>
      <c r="J171" s="55"/>
      <c r="K171" s="55"/>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c r="FS171" s="56"/>
      <c r="FT171" s="56"/>
      <c r="FU171" s="56"/>
      <c r="FV171" s="56"/>
      <c r="FW171" s="56"/>
      <c r="FX171" s="56"/>
      <c r="FY171" s="56"/>
      <c r="FZ171" s="56"/>
      <c r="GA171" s="56"/>
      <c r="GB171" s="56"/>
      <c r="GC171" s="56"/>
      <c r="GD171" s="56"/>
      <c r="GE171" s="56"/>
      <c r="GF171" s="56"/>
      <c r="GG171" s="56"/>
      <c r="GH171" s="56"/>
      <c r="GI171" s="56"/>
      <c r="GJ171" s="56"/>
      <c r="GK171" s="56"/>
      <c r="GL171" s="56"/>
      <c r="GM171" s="56"/>
      <c r="GN171" s="56"/>
      <c r="GO171" s="56"/>
      <c r="GP171" s="56"/>
      <c r="GQ171" s="56"/>
      <c r="GR171" s="56"/>
      <c r="GS171" s="56"/>
      <c r="GT171" s="56"/>
      <c r="GU171" s="56"/>
      <c r="GV171" s="56"/>
      <c r="GW171" s="56"/>
      <c r="GX171" s="56"/>
      <c r="GY171" s="56"/>
      <c r="GZ171" s="56"/>
      <c r="HA171" s="56"/>
      <c r="HB171" s="56"/>
      <c r="HC171" s="56"/>
      <c r="HD171" s="56"/>
      <c r="HE171" s="56"/>
      <c r="HF171" s="56"/>
      <c r="HG171" s="56"/>
      <c r="HH171" s="56"/>
      <c r="HI171" s="56"/>
      <c r="HJ171" s="56"/>
      <c r="HK171" s="56"/>
      <c r="HL171" s="56"/>
      <c r="HM171" s="56"/>
      <c r="HN171" s="56"/>
      <c r="HO171" s="56"/>
      <c r="HP171" s="56"/>
      <c r="HQ171" s="56"/>
      <c r="HR171" s="56"/>
      <c r="HS171" s="56"/>
      <c r="HT171" s="56"/>
      <c r="HU171" s="56"/>
      <c r="HV171" s="56"/>
      <c r="HW171" s="56"/>
      <c r="HX171" s="56"/>
      <c r="HY171" s="56"/>
      <c r="HZ171" s="56"/>
      <c r="IA171" s="56"/>
      <c r="IB171" s="56"/>
      <c r="IC171" s="56"/>
      <c r="ID171" s="56"/>
      <c r="IE171" s="56"/>
      <c r="IF171" s="56"/>
      <c r="IG171" s="56"/>
      <c r="IH171" s="56"/>
      <c r="II171" s="56"/>
      <c r="IJ171" s="56"/>
      <c r="IK171" s="56"/>
      <c r="IL171" s="56"/>
      <c r="IM171" s="56"/>
      <c r="IN171" s="56"/>
    </row>
    <row r="172" spans="1:254" ht="60">
      <c r="A172" s="52"/>
      <c r="B172" s="62" t="s">
        <v>370</v>
      </c>
      <c r="C172" s="105"/>
      <c r="D172" s="54"/>
      <c r="E172" s="54"/>
      <c r="F172" s="54"/>
      <c r="G172" s="83"/>
      <c r="H172" s="83"/>
      <c r="I172" s="55"/>
      <c r="J172" s="55"/>
      <c r="K172" s="55"/>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c r="DQ172" s="56"/>
      <c r="DR172" s="56"/>
      <c r="DS172" s="56"/>
      <c r="DT172" s="56"/>
      <c r="DU172" s="56"/>
      <c r="DV172" s="56"/>
      <c r="DW172" s="56"/>
      <c r="DX172" s="56"/>
      <c r="DY172" s="56"/>
      <c r="DZ172" s="56"/>
      <c r="EA172" s="56"/>
      <c r="EB172" s="56"/>
      <c r="EC172" s="56"/>
      <c r="ED172" s="56"/>
      <c r="EE172" s="56"/>
      <c r="EF172" s="56"/>
      <c r="EG172" s="56"/>
      <c r="EH172" s="56"/>
      <c r="EI172" s="56"/>
      <c r="EJ172" s="56"/>
      <c r="EK172" s="56"/>
      <c r="EL172" s="56"/>
      <c r="EM172" s="56"/>
      <c r="EN172" s="56"/>
      <c r="EO172" s="56"/>
      <c r="EP172" s="56"/>
      <c r="EQ172" s="56"/>
      <c r="ER172" s="56"/>
      <c r="ES172" s="56"/>
      <c r="ET172" s="56"/>
      <c r="EU172" s="56"/>
      <c r="EV172" s="56"/>
      <c r="EW172" s="56"/>
      <c r="EX172" s="56"/>
      <c r="EY172" s="56"/>
      <c r="EZ172" s="56"/>
      <c r="FA172" s="56"/>
      <c r="FB172" s="56"/>
      <c r="FC172" s="56"/>
      <c r="FD172" s="56"/>
      <c r="FE172" s="56"/>
      <c r="FF172" s="56"/>
      <c r="FG172" s="56"/>
      <c r="FH172" s="56"/>
      <c r="FI172" s="56"/>
      <c r="FJ172" s="56"/>
      <c r="FK172" s="56"/>
      <c r="FL172" s="56"/>
      <c r="FM172" s="56"/>
      <c r="FN172" s="56"/>
      <c r="FO172" s="56"/>
      <c r="FP172" s="56"/>
      <c r="FQ172" s="56"/>
      <c r="FR172" s="56"/>
      <c r="FS172" s="56"/>
      <c r="FT172" s="56"/>
      <c r="FU172" s="56"/>
      <c r="FV172" s="56"/>
      <c r="FW172" s="56"/>
      <c r="FX172" s="56"/>
      <c r="FY172" s="56"/>
      <c r="FZ172" s="56"/>
      <c r="GA172" s="56"/>
      <c r="GB172" s="56"/>
      <c r="GC172" s="56"/>
      <c r="GD172" s="56"/>
      <c r="GE172" s="56"/>
      <c r="GF172" s="56"/>
      <c r="GG172" s="56"/>
      <c r="GH172" s="56"/>
      <c r="GI172" s="56"/>
      <c r="GJ172" s="56"/>
      <c r="GK172" s="56"/>
      <c r="GL172" s="56"/>
      <c r="GM172" s="56"/>
      <c r="GN172" s="56"/>
      <c r="GO172" s="56"/>
      <c r="GP172" s="56"/>
      <c r="GQ172" s="56"/>
      <c r="GR172" s="56"/>
      <c r="GS172" s="56"/>
      <c r="GT172" s="56"/>
      <c r="GU172" s="56"/>
      <c r="GV172" s="56"/>
      <c r="GW172" s="56"/>
      <c r="GX172" s="56"/>
      <c r="GY172" s="56"/>
      <c r="GZ172" s="56"/>
      <c r="HA172" s="56"/>
      <c r="HB172" s="56"/>
      <c r="HC172" s="56"/>
      <c r="HD172" s="56"/>
      <c r="HE172" s="56"/>
      <c r="HF172" s="56"/>
      <c r="HG172" s="56"/>
      <c r="HH172" s="56"/>
      <c r="HI172" s="56"/>
      <c r="HJ172" s="56"/>
      <c r="HK172" s="56"/>
      <c r="HL172" s="56"/>
      <c r="HM172" s="56"/>
      <c r="HN172" s="56"/>
      <c r="HO172" s="56"/>
      <c r="HP172" s="56"/>
      <c r="HQ172" s="56"/>
      <c r="HR172" s="56"/>
      <c r="HS172" s="56"/>
      <c r="HT172" s="56"/>
      <c r="HU172" s="56"/>
      <c r="HV172" s="56"/>
      <c r="HW172" s="56"/>
      <c r="HX172" s="56"/>
      <c r="HY172" s="56"/>
      <c r="HZ172" s="56"/>
      <c r="IA172" s="56"/>
      <c r="IB172" s="56"/>
      <c r="IC172" s="56"/>
      <c r="ID172" s="56"/>
      <c r="IE172" s="56"/>
      <c r="IF172" s="56"/>
      <c r="IG172" s="56"/>
      <c r="IH172" s="56"/>
      <c r="II172" s="56"/>
      <c r="IJ172" s="56"/>
      <c r="IK172" s="56"/>
      <c r="IL172" s="56"/>
      <c r="IM172" s="56"/>
      <c r="IN172" s="56"/>
    </row>
    <row r="173" spans="1:254" ht="16.5" customHeight="1">
      <c r="A173" s="59"/>
      <c r="B173" s="62" t="s">
        <v>361</v>
      </c>
      <c r="C173" s="105"/>
      <c r="D173" s="54"/>
      <c r="E173" s="54"/>
      <c r="F173" s="54"/>
      <c r="G173" s="83"/>
      <c r="H173" s="83"/>
      <c r="I173" s="55"/>
      <c r="J173" s="55"/>
      <c r="K173" s="55"/>
      <c r="L173" s="56"/>
      <c r="IN173" s="56"/>
    </row>
    <row r="174" spans="1:254">
      <c r="A174" s="59" t="s">
        <v>410</v>
      </c>
      <c r="B174" s="62" t="s">
        <v>411</v>
      </c>
      <c r="C174" s="106">
        <f t="shared" ref="C174:H174" si="95">C175+C176</f>
        <v>0</v>
      </c>
      <c r="D174" s="106">
        <f t="shared" si="95"/>
        <v>2386000</v>
      </c>
      <c r="E174" s="106">
        <f t="shared" si="95"/>
        <v>2386000</v>
      </c>
      <c r="F174" s="106">
        <f t="shared" si="95"/>
        <v>2386000</v>
      </c>
      <c r="G174" s="106">
        <f t="shared" si="95"/>
        <v>2223864.44</v>
      </c>
      <c r="H174" s="106">
        <f t="shared" si="95"/>
        <v>478964.85</v>
      </c>
      <c r="I174" s="55"/>
      <c r="J174" s="55"/>
      <c r="K174" s="55"/>
      <c r="IN174" s="56"/>
    </row>
    <row r="175" spans="1:254">
      <c r="A175" s="59"/>
      <c r="B175" s="62" t="s">
        <v>368</v>
      </c>
      <c r="C175" s="106"/>
      <c r="D175" s="54">
        <v>2386000</v>
      </c>
      <c r="E175" s="54">
        <v>2386000</v>
      </c>
      <c r="F175" s="54">
        <v>2386000</v>
      </c>
      <c r="G175" s="114">
        <f>794917.07+450055.26+499927.26+478964.85</f>
        <v>2223864.44</v>
      </c>
      <c r="H175" s="114">
        <v>478964.85</v>
      </c>
      <c r="I175" s="55"/>
      <c r="J175" s="55"/>
      <c r="K175" s="55"/>
      <c r="IN175" s="56"/>
    </row>
    <row r="176" spans="1:254" ht="60">
      <c r="A176" s="59"/>
      <c r="B176" s="62" t="s">
        <v>370</v>
      </c>
      <c r="C176" s="106"/>
      <c r="D176" s="54"/>
      <c r="E176" s="54"/>
      <c r="F176" s="54"/>
      <c r="G176" s="114"/>
      <c r="H176" s="114"/>
      <c r="I176" s="55"/>
      <c r="J176" s="55"/>
      <c r="K176" s="55"/>
      <c r="IN176" s="56"/>
    </row>
    <row r="177" spans="1:248">
      <c r="A177" s="59"/>
      <c r="B177" s="62" t="s">
        <v>361</v>
      </c>
      <c r="C177" s="106"/>
      <c r="D177" s="54"/>
      <c r="E177" s="54"/>
      <c r="F177" s="54"/>
      <c r="G177" s="114"/>
      <c r="H177" s="114"/>
      <c r="I177" s="55"/>
      <c r="J177" s="55"/>
      <c r="K177" s="55"/>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6"/>
      <c r="DG177" s="56"/>
      <c r="DH177" s="56"/>
      <c r="DI177" s="56"/>
      <c r="DJ177" s="56"/>
      <c r="DK177" s="56"/>
      <c r="DL177" s="56"/>
      <c r="DM177" s="56"/>
      <c r="DN177" s="56"/>
      <c r="DO177" s="56"/>
      <c r="DP177" s="56"/>
      <c r="DQ177" s="56"/>
      <c r="DR177" s="56"/>
      <c r="DS177" s="56"/>
      <c r="DT177" s="56"/>
      <c r="DU177" s="56"/>
      <c r="DV177" s="56"/>
      <c r="DW177" s="56"/>
      <c r="DX177" s="56"/>
      <c r="DY177" s="56"/>
      <c r="DZ177" s="56"/>
      <c r="EA177" s="56"/>
      <c r="EB177" s="56"/>
      <c r="EC177" s="56"/>
      <c r="ED177" s="56"/>
      <c r="EE177" s="56"/>
      <c r="EF177" s="56"/>
      <c r="EG177" s="56"/>
      <c r="EH177" s="56"/>
      <c r="EI177" s="56"/>
      <c r="EJ177" s="56"/>
      <c r="EK177" s="56"/>
      <c r="EL177" s="56"/>
      <c r="EM177" s="56"/>
      <c r="EN177" s="56"/>
      <c r="EO177" s="56"/>
      <c r="EP177" s="56"/>
      <c r="EQ177" s="56"/>
      <c r="ER177" s="56"/>
      <c r="ES177" s="56"/>
      <c r="ET177" s="56"/>
      <c r="EU177" s="56"/>
      <c r="EV177" s="56"/>
      <c r="EW177" s="56"/>
      <c r="EX177" s="56"/>
      <c r="EY177" s="56"/>
      <c r="EZ177" s="56"/>
      <c r="FA177" s="56"/>
      <c r="FB177" s="56"/>
      <c r="FC177" s="56"/>
      <c r="FD177" s="56"/>
      <c r="FE177" s="56"/>
      <c r="FF177" s="56"/>
      <c r="FG177" s="56"/>
      <c r="FH177" s="56"/>
      <c r="FI177" s="56"/>
      <c r="FJ177" s="56"/>
      <c r="FK177" s="56"/>
      <c r="FL177" s="56"/>
      <c r="FM177" s="56"/>
      <c r="FN177" s="56"/>
      <c r="FO177" s="56"/>
      <c r="FP177" s="56"/>
      <c r="FQ177" s="56"/>
      <c r="FR177" s="56"/>
      <c r="FS177" s="56"/>
      <c r="FT177" s="56"/>
      <c r="FU177" s="56"/>
      <c r="FV177" s="56"/>
      <c r="FW177" s="56"/>
      <c r="FX177" s="56"/>
      <c r="FY177" s="56"/>
      <c r="FZ177" s="56"/>
      <c r="GA177" s="56"/>
      <c r="GB177" s="56"/>
      <c r="GC177" s="56"/>
      <c r="GD177" s="56"/>
      <c r="GE177" s="56"/>
      <c r="GF177" s="56"/>
      <c r="GG177" s="56"/>
      <c r="GH177" s="56"/>
      <c r="GI177" s="56"/>
      <c r="GJ177" s="56"/>
      <c r="GK177" s="56"/>
      <c r="GL177" s="56"/>
      <c r="GM177" s="56"/>
      <c r="GN177" s="56"/>
      <c r="GO177" s="56"/>
      <c r="GP177" s="56"/>
      <c r="GQ177" s="56"/>
      <c r="GR177" s="56"/>
      <c r="GS177" s="56"/>
      <c r="GT177" s="56"/>
      <c r="GU177" s="56"/>
      <c r="GV177" s="56"/>
      <c r="GW177" s="56"/>
      <c r="GX177" s="56"/>
      <c r="GY177" s="56"/>
      <c r="GZ177" s="56"/>
      <c r="HA177" s="56"/>
      <c r="HB177" s="56"/>
      <c r="HC177" s="56"/>
      <c r="HD177" s="56"/>
      <c r="HE177" s="56"/>
      <c r="HF177" s="56"/>
      <c r="HG177" s="56"/>
      <c r="HH177" s="56"/>
      <c r="HI177" s="56"/>
      <c r="HJ177" s="56"/>
      <c r="HK177" s="56"/>
      <c r="HL177" s="56"/>
      <c r="HM177" s="56"/>
      <c r="HN177" s="56"/>
      <c r="HO177" s="56"/>
      <c r="HP177" s="56"/>
      <c r="HQ177" s="56"/>
      <c r="HR177" s="56"/>
      <c r="HS177" s="56"/>
      <c r="HT177" s="56"/>
      <c r="HU177" s="56"/>
      <c r="HV177" s="56"/>
      <c r="HW177" s="56"/>
      <c r="HX177" s="56"/>
      <c r="HY177" s="56"/>
      <c r="HZ177" s="56"/>
      <c r="IA177" s="56"/>
      <c r="IB177" s="56"/>
      <c r="IC177" s="56"/>
      <c r="ID177" s="56"/>
      <c r="IE177" s="56"/>
      <c r="IF177" s="56"/>
      <c r="IG177" s="56"/>
      <c r="IH177" s="56"/>
      <c r="II177" s="56"/>
      <c r="IJ177" s="56"/>
      <c r="IK177" s="56"/>
      <c r="IL177" s="56"/>
      <c r="IM177" s="56"/>
      <c r="IN177" s="56"/>
    </row>
    <row r="178" spans="1:248">
      <c r="A178" s="59" t="s">
        <v>412</v>
      </c>
      <c r="B178" s="57" t="s">
        <v>413</v>
      </c>
      <c r="C178" s="105">
        <f>+C179+C190+C195+C200+C212</f>
        <v>0</v>
      </c>
      <c r="D178" s="105">
        <f t="shared" ref="D178:H178" si="96">+D179+D190+D195+D200+D212</f>
        <v>62912880</v>
      </c>
      <c r="E178" s="105">
        <f t="shared" si="96"/>
        <v>65395030</v>
      </c>
      <c r="F178" s="105">
        <f t="shared" si="96"/>
        <v>65395030</v>
      </c>
      <c r="G178" s="105">
        <f t="shared" si="96"/>
        <v>50353331.919999994</v>
      </c>
      <c r="H178" s="105">
        <f t="shared" si="96"/>
        <v>9960646.3499999996</v>
      </c>
      <c r="I178" s="55"/>
      <c r="J178" s="55"/>
      <c r="K178" s="55"/>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c r="DQ178" s="56"/>
      <c r="DR178" s="56"/>
      <c r="DS178" s="56"/>
      <c r="DT178" s="56"/>
      <c r="DU178" s="56"/>
      <c r="DV178" s="56"/>
      <c r="DW178" s="56"/>
      <c r="DX178" s="56"/>
      <c r="DY178" s="56"/>
      <c r="DZ178" s="56"/>
      <c r="EA178" s="56"/>
      <c r="EB178" s="56"/>
      <c r="EC178" s="56"/>
      <c r="ED178" s="56"/>
      <c r="EE178" s="56"/>
      <c r="EF178" s="56"/>
      <c r="EG178" s="56"/>
      <c r="EH178" s="56"/>
      <c r="EI178" s="56"/>
      <c r="EJ178" s="56"/>
      <c r="EK178" s="56"/>
      <c r="EL178" s="56"/>
      <c r="EM178" s="56"/>
      <c r="EN178" s="56"/>
      <c r="EO178" s="56"/>
      <c r="EP178" s="56"/>
      <c r="EQ178" s="56"/>
      <c r="ER178" s="56"/>
      <c r="ES178" s="56"/>
      <c r="ET178" s="56"/>
      <c r="EU178" s="56"/>
      <c r="EV178" s="56"/>
      <c r="EW178" s="56"/>
      <c r="EX178" s="56"/>
      <c r="EY178" s="56"/>
      <c r="EZ178" s="56"/>
      <c r="FA178" s="56"/>
      <c r="FB178" s="56"/>
      <c r="FC178" s="56"/>
      <c r="FD178" s="56"/>
      <c r="FE178" s="56"/>
      <c r="FF178" s="56"/>
      <c r="FG178" s="56"/>
      <c r="FH178" s="56"/>
      <c r="FI178" s="56"/>
      <c r="FJ178" s="56"/>
      <c r="FK178" s="56"/>
      <c r="FL178" s="56"/>
      <c r="FM178" s="56"/>
      <c r="FN178" s="56"/>
      <c r="FO178" s="56"/>
      <c r="FP178" s="56"/>
      <c r="FQ178" s="56"/>
      <c r="FR178" s="56"/>
      <c r="FS178" s="56"/>
      <c r="FT178" s="56"/>
      <c r="FU178" s="56"/>
      <c r="FV178" s="56"/>
      <c r="FW178" s="56"/>
      <c r="FX178" s="56"/>
      <c r="FY178" s="56"/>
      <c r="FZ178" s="56"/>
      <c r="GA178" s="56"/>
      <c r="GB178" s="56"/>
      <c r="GC178" s="56"/>
      <c r="GD178" s="56"/>
      <c r="GE178" s="56"/>
      <c r="GF178" s="56"/>
      <c r="GG178" s="56"/>
      <c r="GH178" s="56"/>
      <c r="GI178" s="56"/>
      <c r="GJ178" s="56"/>
      <c r="GK178" s="56"/>
      <c r="GL178" s="56"/>
      <c r="GM178" s="56"/>
      <c r="GN178" s="56"/>
      <c r="GO178" s="56"/>
      <c r="GP178" s="56"/>
      <c r="GQ178" s="56"/>
      <c r="GR178" s="56"/>
      <c r="GS178" s="56"/>
      <c r="GT178" s="56"/>
      <c r="GU178" s="56"/>
      <c r="GV178" s="56"/>
      <c r="GW178" s="56"/>
      <c r="GX178" s="56"/>
      <c r="GY178" s="56"/>
      <c r="GZ178" s="56"/>
      <c r="HA178" s="56"/>
      <c r="HB178" s="56"/>
      <c r="HC178" s="56"/>
      <c r="HD178" s="56"/>
      <c r="HE178" s="56"/>
      <c r="HF178" s="56"/>
      <c r="HG178" s="56"/>
      <c r="HH178" s="56"/>
      <c r="HI178" s="56"/>
      <c r="HJ178" s="56"/>
      <c r="HK178" s="56"/>
      <c r="HL178" s="56"/>
      <c r="HM178" s="56"/>
      <c r="HN178" s="56"/>
      <c r="HO178" s="56"/>
      <c r="HP178" s="56"/>
      <c r="HQ178" s="56"/>
      <c r="HR178" s="56"/>
      <c r="HS178" s="56"/>
      <c r="HT178" s="56"/>
      <c r="HU178" s="56"/>
      <c r="HV178" s="56"/>
      <c r="HW178" s="56"/>
      <c r="HX178" s="56"/>
      <c r="HY178" s="56"/>
      <c r="HZ178" s="56"/>
      <c r="IA178" s="56"/>
      <c r="IB178" s="56"/>
      <c r="IC178" s="56"/>
      <c r="ID178" s="56"/>
      <c r="IE178" s="56"/>
      <c r="IF178" s="56"/>
      <c r="IG178" s="56"/>
      <c r="IH178" s="56"/>
      <c r="II178" s="56"/>
      <c r="IJ178" s="56"/>
      <c r="IK178" s="56"/>
      <c r="IL178" s="56"/>
      <c r="IM178" s="56"/>
    </row>
    <row r="179" spans="1:248">
      <c r="A179" s="59" t="s">
        <v>414</v>
      </c>
      <c r="B179" s="57" t="s">
        <v>415</v>
      </c>
      <c r="C179" s="105">
        <f>+C180+C184+C185+C186+C187+C188</f>
        <v>0</v>
      </c>
      <c r="D179" s="105">
        <f t="shared" ref="D179:H179" si="97">+D180+D184+D185+D186+D187+D188</f>
        <v>34079170</v>
      </c>
      <c r="E179" s="105">
        <f t="shared" si="97"/>
        <v>33734270</v>
      </c>
      <c r="F179" s="105">
        <f t="shared" si="97"/>
        <v>33734270</v>
      </c>
      <c r="G179" s="105">
        <f t="shared" si="97"/>
        <v>25820639.259999998</v>
      </c>
      <c r="H179" s="105">
        <f t="shared" si="97"/>
        <v>5156104.6000000006</v>
      </c>
      <c r="I179" s="55"/>
      <c r="J179" s="55"/>
      <c r="K179" s="55"/>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c r="FU179" s="56"/>
      <c r="FV179" s="56"/>
      <c r="FW179" s="56"/>
      <c r="FX179" s="56"/>
      <c r="FY179" s="56"/>
      <c r="FZ179" s="56"/>
      <c r="GA179" s="56"/>
      <c r="GB179" s="56"/>
      <c r="GC179" s="56"/>
      <c r="GD179" s="56"/>
      <c r="GE179" s="56"/>
      <c r="GF179" s="56"/>
      <c r="GG179" s="56"/>
      <c r="GH179" s="56"/>
      <c r="GI179" s="56"/>
      <c r="GJ179" s="56"/>
      <c r="GK179" s="56"/>
      <c r="GL179" s="56"/>
      <c r="GM179" s="56"/>
      <c r="GN179" s="56"/>
      <c r="GO179" s="56"/>
      <c r="GP179" s="56"/>
      <c r="GQ179" s="56"/>
      <c r="GR179" s="56"/>
      <c r="GS179" s="56"/>
      <c r="GT179" s="56"/>
      <c r="GU179" s="56"/>
      <c r="GV179" s="56"/>
      <c r="GW179" s="56"/>
      <c r="GX179" s="56"/>
      <c r="GY179" s="56"/>
      <c r="GZ179" s="56"/>
      <c r="HA179" s="56"/>
      <c r="HB179" s="56"/>
      <c r="HC179" s="56"/>
      <c r="HD179" s="56"/>
      <c r="HE179" s="56"/>
      <c r="HF179" s="56"/>
      <c r="HG179" s="56"/>
      <c r="HH179" s="56"/>
      <c r="HI179" s="56"/>
      <c r="HJ179" s="56"/>
      <c r="HK179" s="56"/>
      <c r="HL179" s="56"/>
      <c r="HM179" s="56"/>
      <c r="HN179" s="56"/>
      <c r="HO179" s="56"/>
      <c r="HP179" s="56"/>
      <c r="HQ179" s="56"/>
      <c r="HR179" s="56"/>
      <c r="HS179" s="56"/>
      <c r="HT179" s="56"/>
      <c r="HU179" s="56"/>
      <c r="HV179" s="56"/>
      <c r="HW179" s="56"/>
      <c r="HX179" s="56"/>
      <c r="HY179" s="56"/>
      <c r="HZ179" s="56"/>
      <c r="IA179" s="56"/>
      <c r="IB179" s="56"/>
      <c r="IC179" s="56"/>
      <c r="ID179" s="56"/>
      <c r="IE179" s="56"/>
      <c r="IF179" s="56"/>
      <c r="IG179" s="56"/>
      <c r="IH179" s="56"/>
      <c r="II179" s="56"/>
      <c r="IJ179" s="56"/>
      <c r="IK179" s="56"/>
      <c r="IL179" s="56"/>
      <c r="IM179" s="56"/>
    </row>
    <row r="180" spans="1:248" ht="16.5" customHeight="1">
      <c r="A180" s="59"/>
      <c r="B180" s="79" t="s">
        <v>514</v>
      </c>
      <c r="C180" s="106">
        <f>C181+C182+C183</f>
        <v>0</v>
      </c>
      <c r="D180" s="106">
        <v>30747000</v>
      </c>
      <c r="E180" s="106">
        <v>31387000</v>
      </c>
      <c r="F180" s="106">
        <v>31387000</v>
      </c>
      <c r="G180" s="106">
        <f t="shared" ref="G180:H180" si="98">G181+G182+G183</f>
        <v>24162183.600000001</v>
      </c>
      <c r="H180" s="106">
        <f t="shared" si="98"/>
        <v>4695691.4000000004</v>
      </c>
      <c r="I180" s="55"/>
      <c r="J180" s="55"/>
      <c r="K180" s="55"/>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c r="FR180" s="56"/>
      <c r="FS180" s="56"/>
      <c r="FT180" s="56"/>
      <c r="FU180" s="56"/>
      <c r="FV180" s="56"/>
      <c r="FW180" s="56"/>
      <c r="FX180" s="56"/>
      <c r="FY180" s="56"/>
      <c r="FZ180" s="56"/>
      <c r="GA180" s="56"/>
      <c r="GB180" s="56"/>
      <c r="GC180" s="56"/>
      <c r="GD180" s="56"/>
      <c r="GE180" s="56"/>
      <c r="GF180" s="56"/>
      <c r="GG180" s="56"/>
      <c r="GH180" s="56"/>
      <c r="GI180" s="56"/>
      <c r="GJ180" s="56"/>
      <c r="GK180" s="56"/>
      <c r="GL180" s="56"/>
      <c r="GM180" s="56"/>
      <c r="GN180" s="56"/>
      <c r="GO180" s="56"/>
      <c r="GP180" s="56"/>
      <c r="GQ180" s="56"/>
      <c r="GR180" s="56"/>
      <c r="GS180" s="56"/>
      <c r="GT180" s="56"/>
      <c r="GU180" s="56"/>
      <c r="GV180" s="56"/>
      <c r="GW180" s="56"/>
      <c r="GX180" s="56"/>
      <c r="GY180" s="56"/>
      <c r="GZ180" s="56"/>
      <c r="HA180" s="56"/>
      <c r="HB180" s="56"/>
      <c r="HC180" s="56"/>
      <c r="HD180" s="56"/>
      <c r="HE180" s="56"/>
      <c r="HF180" s="56"/>
      <c r="HG180" s="56"/>
      <c r="HH180" s="56"/>
      <c r="HI180" s="56"/>
      <c r="HJ180" s="56"/>
      <c r="HK180" s="56"/>
      <c r="HL180" s="56"/>
      <c r="HM180" s="56"/>
      <c r="HN180" s="56"/>
      <c r="HO180" s="56"/>
      <c r="HP180" s="56"/>
      <c r="HQ180" s="56"/>
      <c r="HR180" s="56"/>
      <c r="HS180" s="56"/>
      <c r="HT180" s="56"/>
      <c r="HU180" s="56"/>
      <c r="HV180" s="56"/>
      <c r="HW180" s="56"/>
      <c r="HX180" s="56"/>
      <c r="HY180" s="56"/>
      <c r="HZ180" s="56"/>
      <c r="IA180" s="56"/>
      <c r="IB180" s="56"/>
      <c r="IC180" s="56"/>
      <c r="ID180" s="56"/>
      <c r="IE180" s="56"/>
      <c r="IF180" s="56"/>
      <c r="IG180" s="56"/>
      <c r="IH180" s="56"/>
      <c r="II180" s="56"/>
      <c r="IJ180" s="56"/>
      <c r="IK180" s="56"/>
      <c r="IL180" s="56"/>
      <c r="IM180" s="56"/>
      <c r="IN180" s="56"/>
    </row>
    <row r="181" spans="1:248" ht="16.5" customHeight="1">
      <c r="A181" s="59"/>
      <c r="B181" s="104" t="s">
        <v>417</v>
      </c>
      <c r="C181" s="106"/>
      <c r="D181" s="54">
        <v>15370000</v>
      </c>
      <c r="E181" s="54">
        <v>15690000</v>
      </c>
      <c r="F181" s="54">
        <v>15690000</v>
      </c>
      <c r="G181" s="83">
        <f>2402593.1+2439062.54+2488648.9+2378218.6+2435141.6</f>
        <v>12143664.74</v>
      </c>
      <c r="H181" s="83">
        <v>2435141.6</v>
      </c>
      <c r="I181" s="55"/>
      <c r="J181" s="55"/>
      <c r="K181" s="55"/>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c r="FV181" s="56"/>
      <c r="FW181" s="56"/>
      <c r="FX181" s="56"/>
      <c r="FY181" s="56"/>
      <c r="FZ181" s="56"/>
      <c r="GA181" s="56"/>
      <c r="GB181" s="56"/>
      <c r="GC181" s="56"/>
      <c r="GD181" s="56"/>
      <c r="GE181" s="56"/>
      <c r="GF181" s="56"/>
      <c r="GG181" s="56"/>
      <c r="GH181" s="56"/>
      <c r="GI181" s="56"/>
      <c r="GJ181" s="56"/>
      <c r="GK181" s="56"/>
      <c r="GL181" s="56"/>
      <c r="GM181" s="56"/>
      <c r="GN181" s="56"/>
      <c r="GO181" s="56"/>
      <c r="GP181" s="56"/>
      <c r="GQ181" s="56"/>
      <c r="GR181" s="56"/>
      <c r="GS181" s="56"/>
      <c r="GT181" s="56"/>
      <c r="GU181" s="56"/>
      <c r="GV181" s="56"/>
      <c r="GW181" s="56"/>
      <c r="GX181" s="56"/>
      <c r="GY181" s="56"/>
      <c r="GZ181" s="56"/>
      <c r="HA181" s="56"/>
      <c r="HB181" s="56"/>
      <c r="HC181" s="56"/>
      <c r="HD181" s="56"/>
      <c r="HE181" s="56"/>
      <c r="HF181" s="56"/>
      <c r="HG181" s="56"/>
      <c r="HH181" s="56"/>
      <c r="HI181" s="56"/>
      <c r="HJ181" s="56"/>
      <c r="HK181" s="56"/>
      <c r="HL181" s="56"/>
      <c r="HM181" s="56"/>
      <c r="HN181" s="56"/>
      <c r="HO181" s="56"/>
      <c r="HP181" s="56"/>
      <c r="HQ181" s="56"/>
      <c r="HR181" s="56"/>
      <c r="HS181" s="56"/>
      <c r="HT181" s="56"/>
      <c r="HU181" s="56"/>
      <c r="HV181" s="56"/>
      <c r="HW181" s="56"/>
      <c r="HX181" s="56"/>
      <c r="HY181" s="56"/>
      <c r="HZ181" s="56"/>
      <c r="IA181" s="56"/>
      <c r="IB181" s="56"/>
      <c r="IC181" s="56"/>
      <c r="ID181" s="56"/>
      <c r="IE181" s="56"/>
      <c r="IF181" s="56"/>
      <c r="IG181" s="56"/>
      <c r="IH181" s="56"/>
      <c r="II181" s="56"/>
      <c r="IJ181" s="56"/>
      <c r="IK181" s="56"/>
      <c r="IL181" s="56"/>
      <c r="IM181" s="56"/>
      <c r="IN181" s="56"/>
    </row>
    <row r="182" spans="1:248">
      <c r="A182" s="59"/>
      <c r="B182" s="104" t="s">
        <v>418</v>
      </c>
      <c r="C182" s="106"/>
      <c r="D182" s="54">
        <v>15377000</v>
      </c>
      <c r="E182" s="54">
        <v>15697000</v>
      </c>
      <c r="F182" s="54">
        <v>15697000</v>
      </c>
      <c r="G182" s="83">
        <f>1865622.6+3343399.06+2470671.2+2078276.2+2259889.8+660</f>
        <v>12018518.859999999</v>
      </c>
      <c r="H182" s="83">
        <f>2259889.8+660</f>
        <v>2260549.7999999998</v>
      </c>
      <c r="I182" s="55"/>
      <c r="J182" s="55"/>
      <c r="K182" s="55"/>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c r="EA182" s="56"/>
      <c r="EB182" s="56"/>
      <c r="EC182" s="56"/>
      <c r="ED182" s="56"/>
      <c r="EE182" s="56"/>
      <c r="EF182" s="56"/>
      <c r="EG182" s="56"/>
      <c r="EH182" s="56"/>
      <c r="EI182" s="56"/>
      <c r="EJ182" s="56"/>
      <c r="EK182" s="56"/>
      <c r="EL182" s="56"/>
      <c r="EM182" s="56"/>
      <c r="EN182" s="56"/>
      <c r="EO182" s="56"/>
      <c r="EP182" s="56"/>
      <c r="EQ182" s="56"/>
      <c r="ER182" s="56"/>
      <c r="ES182" s="56"/>
      <c r="ET182" s="56"/>
      <c r="EU182" s="56"/>
      <c r="EV182" s="56"/>
      <c r="EW182" s="56"/>
      <c r="EX182" s="56"/>
      <c r="EY182" s="56"/>
      <c r="EZ182" s="56"/>
      <c r="FA182" s="56"/>
      <c r="FB182" s="56"/>
      <c r="FC182" s="56"/>
      <c r="FD182" s="56"/>
      <c r="FE182" s="56"/>
      <c r="FF182" s="56"/>
      <c r="FG182" s="56"/>
      <c r="FH182" s="56"/>
      <c r="FI182" s="56"/>
      <c r="FJ182" s="56"/>
      <c r="FK182" s="56"/>
      <c r="FL182" s="56"/>
      <c r="FM182" s="56"/>
      <c r="FN182" s="56"/>
      <c r="FO182" s="56"/>
      <c r="FP182" s="56"/>
      <c r="FQ182" s="56"/>
      <c r="FR182" s="56"/>
      <c r="FS182" s="56"/>
      <c r="FT182" s="56"/>
      <c r="FU182" s="56"/>
      <c r="FV182" s="56"/>
      <c r="FW182" s="56"/>
      <c r="FX182" s="56"/>
      <c r="FY182" s="56"/>
      <c r="FZ182" s="56"/>
      <c r="GA182" s="56"/>
      <c r="GB182" s="56"/>
      <c r="GC182" s="56"/>
      <c r="GD182" s="56"/>
      <c r="GE182" s="56"/>
      <c r="GF182" s="56"/>
      <c r="GG182" s="56"/>
      <c r="GH182" s="56"/>
      <c r="GI182" s="56"/>
      <c r="GJ182" s="56"/>
      <c r="GK182" s="56"/>
      <c r="GL182" s="56"/>
      <c r="GM182" s="56"/>
      <c r="GN182" s="56"/>
      <c r="GO182" s="56"/>
      <c r="GP182" s="56"/>
      <c r="GQ182" s="56"/>
      <c r="GR182" s="56"/>
      <c r="GS182" s="56"/>
      <c r="GT182" s="56"/>
      <c r="GU182" s="56"/>
      <c r="GV182" s="56"/>
      <c r="GW182" s="56"/>
      <c r="GX182" s="56"/>
      <c r="GY182" s="56"/>
      <c r="GZ182" s="56"/>
      <c r="HA182" s="56"/>
      <c r="HB182" s="56"/>
      <c r="HC182" s="56"/>
      <c r="HD182" s="56"/>
      <c r="HE182" s="56"/>
      <c r="HF182" s="56"/>
      <c r="HG182" s="56"/>
      <c r="HH182" s="56"/>
      <c r="HI182" s="56"/>
      <c r="HJ182" s="56"/>
      <c r="HK182" s="56"/>
      <c r="HL182" s="56"/>
      <c r="HM182" s="56"/>
      <c r="HN182" s="56"/>
      <c r="HO182" s="56"/>
      <c r="HP182" s="56"/>
      <c r="HQ182" s="56"/>
      <c r="HR182" s="56"/>
      <c r="HS182" s="56"/>
      <c r="HT182" s="56"/>
      <c r="HU182" s="56"/>
      <c r="HV182" s="56"/>
      <c r="HW182" s="56"/>
      <c r="HX182" s="56"/>
      <c r="HY182" s="56"/>
      <c r="HZ182" s="56"/>
      <c r="IA182" s="56"/>
      <c r="IB182" s="56"/>
      <c r="IC182" s="56"/>
      <c r="ID182" s="56"/>
      <c r="IE182" s="56"/>
      <c r="IF182" s="56"/>
      <c r="IG182" s="56"/>
      <c r="IH182" s="56"/>
      <c r="II182" s="56"/>
      <c r="IJ182" s="56"/>
      <c r="IK182" s="56"/>
      <c r="IL182" s="56"/>
      <c r="IM182" s="56"/>
      <c r="IN182" s="56"/>
    </row>
    <row r="183" spans="1:248">
      <c r="A183" s="59"/>
      <c r="B183" s="104" t="s">
        <v>513</v>
      </c>
      <c r="C183" s="106"/>
      <c r="D183" s="54"/>
      <c r="E183" s="54"/>
      <c r="F183" s="54"/>
      <c r="G183" s="83"/>
      <c r="H183" s="83"/>
      <c r="I183" s="55"/>
      <c r="J183" s="55"/>
      <c r="K183" s="55"/>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c r="EA183" s="56"/>
      <c r="EB183" s="56"/>
      <c r="EC183" s="56"/>
      <c r="ED183" s="56"/>
      <c r="EE183" s="56"/>
      <c r="EF183" s="56"/>
      <c r="EG183" s="56"/>
      <c r="EH183" s="56"/>
      <c r="EI183" s="56"/>
      <c r="EJ183" s="56"/>
      <c r="EK183" s="56"/>
      <c r="EL183" s="56"/>
      <c r="EM183" s="56"/>
      <c r="EN183" s="56"/>
      <c r="EO183" s="56"/>
      <c r="EP183" s="56"/>
      <c r="EQ183" s="56"/>
      <c r="ER183" s="56"/>
      <c r="ES183" s="56"/>
      <c r="ET183" s="56"/>
      <c r="EU183" s="56"/>
      <c r="EV183" s="56"/>
      <c r="EW183" s="56"/>
      <c r="EX183" s="56"/>
      <c r="EY183" s="56"/>
      <c r="EZ183" s="56"/>
      <c r="FA183" s="56"/>
      <c r="FB183" s="56"/>
      <c r="FC183" s="56"/>
      <c r="FD183" s="56"/>
      <c r="FE183" s="56"/>
      <c r="FF183" s="56"/>
      <c r="FG183" s="56"/>
      <c r="FH183" s="56"/>
      <c r="FI183" s="56"/>
      <c r="FJ183" s="56"/>
      <c r="FK183" s="56"/>
      <c r="FL183" s="56"/>
      <c r="FM183" s="56"/>
      <c r="FN183" s="56"/>
      <c r="FO183" s="56"/>
      <c r="FP183" s="56"/>
      <c r="FQ183" s="56"/>
      <c r="FR183" s="56"/>
      <c r="FS183" s="56"/>
      <c r="FT183" s="56"/>
      <c r="FU183" s="56"/>
      <c r="FV183" s="56"/>
      <c r="FW183" s="56"/>
      <c r="FX183" s="56"/>
      <c r="FY183" s="56"/>
      <c r="FZ183" s="56"/>
      <c r="GA183" s="56"/>
      <c r="GB183" s="56"/>
      <c r="GC183" s="56"/>
      <c r="GD183" s="56"/>
      <c r="GE183" s="56"/>
      <c r="GF183" s="56"/>
      <c r="GG183" s="56"/>
      <c r="GH183" s="56"/>
      <c r="GI183" s="56"/>
      <c r="GJ183" s="56"/>
      <c r="GK183" s="56"/>
      <c r="GL183" s="56"/>
      <c r="GM183" s="56"/>
      <c r="GN183" s="56"/>
      <c r="GO183" s="56"/>
      <c r="GP183" s="56"/>
      <c r="GQ183" s="56"/>
      <c r="GR183" s="56"/>
      <c r="GS183" s="56"/>
      <c r="GT183" s="56"/>
      <c r="GU183" s="56"/>
      <c r="GV183" s="56"/>
      <c r="GW183" s="56"/>
      <c r="GX183" s="56"/>
      <c r="GY183" s="56"/>
      <c r="GZ183" s="56"/>
      <c r="HA183" s="56"/>
      <c r="HB183" s="56"/>
      <c r="HC183" s="56"/>
      <c r="HD183" s="56"/>
      <c r="HE183" s="56"/>
      <c r="HF183" s="56"/>
      <c r="HG183" s="56"/>
      <c r="HH183" s="56"/>
      <c r="HI183" s="56"/>
      <c r="HJ183" s="56"/>
      <c r="HK183" s="56"/>
      <c r="HL183" s="56"/>
      <c r="HM183" s="56"/>
      <c r="HN183" s="56"/>
      <c r="HO183" s="56"/>
      <c r="HP183" s="56"/>
      <c r="HQ183" s="56"/>
      <c r="HR183" s="56"/>
      <c r="HS183" s="56"/>
      <c r="HT183" s="56"/>
      <c r="HU183" s="56"/>
      <c r="HV183" s="56"/>
      <c r="HW183" s="56"/>
      <c r="HX183" s="56"/>
      <c r="HY183" s="56"/>
      <c r="HZ183" s="56"/>
      <c r="IA183" s="56"/>
      <c r="IB183" s="56"/>
      <c r="IC183" s="56"/>
      <c r="ID183" s="56"/>
      <c r="IE183" s="56"/>
      <c r="IF183" s="56"/>
      <c r="IG183" s="56"/>
      <c r="IH183" s="56"/>
      <c r="II183" s="56"/>
      <c r="IJ183" s="56"/>
      <c r="IK183" s="56"/>
      <c r="IL183" s="56"/>
      <c r="IM183" s="56"/>
      <c r="IN183" s="56"/>
    </row>
    <row r="184" spans="1:248">
      <c r="A184" s="52"/>
      <c r="B184" s="79" t="s">
        <v>419</v>
      </c>
      <c r="C184" s="106"/>
      <c r="D184" s="54">
        <v>1448000</v>
      </c>
      <c r="E184" s="54">
        <v>1448000</v>
      </c>
      <c r="F184" s="54">
        <v>1448000</v>
      </c>
      <c r="G184" s="60">
        <f>232547.56+233116+206836.44+223697.06+229089</f>
        <v>1125286.06</v>
      </c>
      <c r="H184" s="60">
        <v>229089</v>
      </c>
      <c r="I184" s="55"/>
      <c r="J184" s="55"/>
      <c r="K184" s="55"/>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c r="DQ184" s="56"/>
      <c r="DR184" s="56"/>
      <c r="DS184" s="56"/>
      <c r="DT184" s="56"/>
      <c r="DU184" s="56"/>
      <c r="DV184" s="56"/>
      <c r="DW184" s="56"/>
      <c r="DX184" s="56"/>
      <c r="DY184" s="56"/>
      <c r="DZ184" s="56"/>
      <c r="EA184" s="56"/>
      <c r="EB184" s="56"/>
      <c r="EC184" s="56"/>
      <c r="ED184" s="56"/>
      <c r="EE184" s="56"/>
      <c r="EF184" s="56"/>
      <c r="EG184" s="56"/>
      <c r="EH184" s="56"/>
      <c r="EI184" s="56"/>
      <c r="EJ184" s="56"/>
      <c r="EK184" s="56"/>
      <c r="EL184" s="56"/>
      <c r="EM184" s="56"/>
      <c r="EN184" s="56"/>
      <c r="EO184" s="56"/>
      <c r="EP184" s="56"/>
      <c r="EQ184" s="56"/>
      <c r="ER184" s="56"/>
      <c r="ES184" s="56"/>
      <c r="ET184" s="56"/>
      <c r="EU184" s="56"/>
      <c r="EV184" s="56"/>
      <c r="EW184" s="56"/>
      <c r="EX184" s="56"/>
      <c r="EY184" s="56"/>
      <c r="EZ184" s="56"/>
      <c r="FA184" s="56"/>
      <c r="FB184" s="56"/>
      <c r="FC184" s="56"/>
      <c r="FD184" s="56"/>
      <c r="FE184" s="56"/>
      <c r="FF184" s="56"/>
      <c r="FG184" s="56"/>
      <c r="FH184" s="56"/>
      <c r="FI184" s="56"/>
      <c r="FJ184" s="56"/>
      <c r="FK184" s="56"/>
      <c r="FL184" s="56"/>
      <c r="FM184" s="56"/>
      <c r="FN184" s="56"/>
      <c r="FO184" s="56"/>
      <c r="FP184" s="56"/>
      <c r="FQ184" s="56"/>
      <c r="FR184" s="56"/>
      <c r="FS184" s="56"/>
      <c r="FT184" s="56"/>
      <c r="FU184" s="56"/>
      <c r="FV184" s="56"/>
      <c r="FW184" s="56"/>
      <c r="FX184" s="56"/>
      <c r="FY184" s="56"/>
      <c r="FZ184" s="56"/>
      <c r="GA184" s="56"/>
      <c r="GB184" s="56"/>
      <c r="GC184" s="56"/>
      <c r="GD184" s="56"/>
      <c r="GE184" s="56"/>
      <c r="GF184" s="56"/>
      <c r="GG184" s="56"/>
      <c r="GH184" s="56"/>
      <c r="GI184" s="56"/>
      <c r="GJ184" s="56"/>
      <c r="GK184" s="56"/>
      <c r="GL184" s="56"/>
      <c r="GM184" s="56"/>
      <c r="GN184" s="56"/>
      <c r="GO184" s="56"/>
      <c r="GP184" s="56"/>
      <c r="GQ184" s="56"/>
      <c r="GR184" s="56"/>
      <c r="GS184" s="56"/>
      <c r="GT184" s="56"/>
      <c r="GU184" s="56"/>
      <c r="GV184" s="56"/>
      <c r="GW184" s="56"/>
      <c r="GX184" s="56"/>
      <c r="GY184" s="56"/>
      <c r="GZ184" s="56"/>
      <c r="HA184" s="56"/>
      <c r="HB184" s="56"/>
      <c r="HC184" s="56"/>
      <c r="HD184" s="56"/>
      <c r="HE184" s="56"/>
      <c r="HF184" s="56"/>
      <c r="HG184" s="56"/>
      <c r="HH184" s="56"/>
      <c r="HI184" s="56"/>
      <c r="HJ184" s="56"/>
      <c r="HK184" s="56"/>
      <c r="HL184" s="56"/>
      <c r="HM184" s="56"/>
      <c r="HN184" s="56"/>
      <c r="HO184" s="56"/>
      <c r="HP184" s="56"/>
      <c r="HQ184" s="56"/>
      <c r="HR184" s="56"/>
      <c r="HS184" s="56"/>
      <c r="HT184" s="56"/>
      <c r="HU184" s="56"/>
      <c r="HV184" s="56"/>
      <c r="HW184" s="56"/>
      <c r="HX184" s="56"/>
      <c r="HY184" s="56"/>
      <c r="HZ184" s="56"/>
      <c r="IA184" s="56"/>
      <c r="IB184" s="56"/>
      <c r="IC184" s="56"/>
      <c r="ID184" s="56"/>
      <c r="IE184" s="56"/>
      <c r="IF184" s="56"/>
      <c r="IG184" s="56"/>
      <c r="IH184" s="56"/>
      <c r="II184" s="56"/>
      <c r="IJ184" s="56"/>
      <c r="IK184" s="56"/>
      <c r="IL184" s="56"/>
      <c r="IM184" s="56"/>
      <c r="IN184" s="56"/>
    </row>
    <row r="185" spans="1:248" ht="45">
      <c r="A185" s="52"/>
      <c r="B185" s="79" t="s">
        <v>420</v>
      </c>
      <c r="C185" s="106"/>
      <c r="D185" s="54">
        <v>442000</v>
      </c>
      <c r="E185" s="54">
        <v>442000</v>
      </c>
      <c r="F185" s="54">
        <v>442000</v>
      </c>
      <c r="G185" s="60">
        <f>15855+42840+82110</f>
        <v>140805</v>
      </c>
      <c r="H185" s="60">
        <v>82110</v>
      </c>
      <c r="I185" s="55"/>
      <c r="J185" s="55"/>
      <c r="K185" s="55"/>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c r="FS185" s="56"/>
      <c r="FT185" s="56"/>
      <c r="FU185" s="56"/>
      <c r="FV185" s="56"/>
      <c r="FW185" s="56"/>
      <c r="FX185" s="56"/>
      <c r="FY185" s="56"/>
      <c r="FZ185" s="56"/>
      <c r="GA185" s="56"/>
      <c r="GB185" s="56"/>
      <c r="GC185" s="56"/>
      <c r="GD185" s="56"/>
      <c r="GE185" s="56"/>
      <c r="GF185" s="56"/>
      <c r="GG185" s="56"/>
      <c r="GH185" s="56"/>
      <c r="GI185" s="56"/>
      <c r="GJ185" s="56"/>
      <c r="GK185" s="56"/>
      <c r="GL185" s="56"/>
      <c r="GM185" s="56"/>
      <c r="GN185" s="56"/>
      <c r="GO185" s="56"/>
      <c r="GP185" s="56"/>
      <c r="GQ185" s="56"/>
      <c r="GR185" s="56"/>
      <c r="GS185" s="56"/>
      <c r="GT185" s="56"/>
      <c r="GU185" s="56"/>
      <c r="GV185" s="56"/>
      <c r="GW185" s="56"/>
      <c r="GX185" s="56"/>
      <c r="GY185" s="56"/>
      <c r="GZ185" s="56"/>
      <c r="HA185" s="56"/>
      <c r="HB185" s="56"/>
      <c r="HC185" s="56"/>
      <c r="HD185" s="56"/>
      <c r="HE185" s="56"/>
      <c r="HF185" s="56"/>
      <c r="HG185" s="56"/>
      <c r="HH185" s="56"/>
      <c r="HI185" s="56"/>
      <c r="HJ185" s="56"/>
      <c r="HK185" s="56"/>
      <c r="HL185" s="56"/>
      <c r="HM185" s="56"/>
      <c r="HN185" s="56"/>
      <c r="HO185" s="56"/>
      <c r="HP185" s="56"/>
      <c r="HQ185" s="56"/>
      <c r="HR185" s="56"/>
      <c r="HS185" s="56"/>
      <c r="HT185" s="56"/>
      <c r="HU185" s="56"/>
      <c r="HV185" s="56"/>
      <c r="HW185" s="56"/>
      <c r="HX185" s="56"/>
      <c r="HY185" s="56"/>
      <c r="HZ185" s="56"/>
      <c r="IA185" s="56"/>
      <c r="IB185" s="56"/>
      <c r="IC185" s="56"/>
      <c r="ID185" s="56"/>
      <c r="IE185" s="56"/>
      <c r="IF185" s="56"/>
      <c r="IG185" s="56"/>
      <c r="IH185" s="56"/>
      <c r="II185" s="56"/>
      <c r="IJ185" s="56"/>
      <c r="IK185" s="56"/>
      <c r="IL185" s="56"/>
      <c r="IM185" s="56"/>
      <c r="IN185" s="56"/>
    </row>
    <row r="186" spans="1:248" ht="45">
      <c r="A186" s="52"/>
      <c r="B186" s="79" t="s">
        <v>421</v>
      </c>
      <c r="C186" s="106"/>
      <c r="D186" s="54">
        <v>452000</v>
      </c>
      <c r="E186" s="54">
        <v>452000</v>
      </c>
      <c r="F186" s="54">
        <v>452000</v>
      </c>
      <c r="G186" s="60">
        <f>150570+92400+147200</f>
        <v>390170</v>
      </c>
      <c r="H186" s="60">
        <v>147200</v>
      </c>
      <c r="I186" s="55"/>
      <c r="J186" s="55"/>
      <c r="K186" s="55"/>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c r="DH186" s="56"/>
      <c r="DI186" s="56"/>
      <c r="DJ186" s="56"/>
      <c r="DK186" s="56"/>
      <c r="DL186" s="56"/>
      <c r="DM186" s="56"/>
      <c r="DN186" s="56"/>
      <c r="DO186" s="56"/>
      <c r="DP186" s="56"/>
      <c r="DQ186" s="56"/>
      <c r="DR186" s="56"/>
      <c r="DS186" s="56"/>
      <c r="DT186" s="56"/>
      <c r="DU186" s="56"/>
      <c r="DV186" s="56"/>
      <c r="DW186" s="56"/>
      <c r="DX186" s="56"/>
      <c r="DY186" s="56"/>
      <c r="DZ186" s="56"/>
      <c r="EA186" s="56"/>
      <c r="EB186" s="56"/>
      <c r="EC186" s="56"/>
      <c r="ED186" s="56"/>
      <c r="EE186" s="56"/>
      <c r="EF186" s="56"/>
      <c r="EG186" s="56"/>
      <c r="EH186" s="56"/>
      <c r="EI186" s="56"/>
      <c r="EJ186" s="56"/>
      <c r="EK186" s="56"/>
      <c r="EL186" s="56"/>
      <c r="EM186" s="56"/>
      <c r="EN186" s="56"/>
      <c r="EO186" s="56"/>
      <c r="EP186" s="56"/>
      <c r="EQ186" s="56"/>
      <c r="ER186" s="56"/>
      <c r="ES186" s="56"/>
      <c r="ET186" s="56"/>
      <c r="EU186" s="56"/>
      <c r="EV186" s="56"/>
      <c r="EW186" s="56"/>
      <c r="EX186" s="56"/>
      <c r="EY186" s="56"/>
      <c r="EZ186" s="56"/>
      <c r="FA186" s="56"/>
      <c r="FB186" s="56"/>
      <c r="FC186" s="56"/>
      <c r="FD186" s="56"/>
      <c r="FE186" s="56"/>
      <c r="FF186" s="56"/>
      <c r="FG186" s="56"/>
      <c r="FH186" s="56"/>
      <c r="FI186" s="56"/>
      <c r="FJ186" s="56"/>
      <c r="FK186" s="56"/>
      <c r="FL186" s="56"/>
      <c r="FM186" s="56"/>
      <c r="FN186" s="56"/>
      <c r="FO186" s="56"/>
      <c r="FP186" s="56"/>
      <c r="FQ186" s="56"/>
      <c r="FR186" s="56"/>
      <c r="FS186" s="56"/>
      <c r="FT186" s="56"/>
      <c r="FU186" s="56"/>
      <c r="FV186" s="56"/>
      <c r="FW186" s="56"/>
      <c r="FX186" s="56"/>
      <c r="FY186" s="56"/>
      <c r="FZ186" s="56"/>
      <c r="GA186" s="56"/>
      <c r="GB186" s="56"/>
      <c r="GC186" s="56"/>
      <c r="GD186" s="56"/>
      <c r="GE186" s="56"/>
      <c r="GF186" s="56"/>
      <c r="GG186" s="56"/>
      <c r="GH186" s="56"/>
      <c r="GI186" s="56"/>
      <c r="GJ186" s="56"/>
      <c r="GK186" s="56"/>
      <c r="GL186" s="56"/>
      <c r="GM186" s="56"/>
      <c r="GN186" s="56"/>
      <c r="GO186" s="56"/>
      <c r="GP186" s="56"/>
      <c r="GQ186" s="56"/>
      <c r="GR186" s="56"/>
      <c r="GS186" s="56"/>
      <c r="GT186" s="56"/>
      <c r="GU186" s="56"/>
      <c r="GV186" s="56"/>
      <c r="GW186" s="56"/>
      <c r="GX186" s="56"/>
      <c r="GY186" s="56"/>
      <c r="GZ186" s="56"/>
      <c r="HA186" s="56"/>
      <c r="HB186" s="56"/>
      <c r="HC186" s="56"/>
      <c r="HD186" s="56"/>
      <c r="HE186" s="56"/>
      <c r="HF186" s="56"/>
      <c r="HG186" s="56"/>
      <c r="HH186" s="56"/>
      <c r="HI186" s="56"/>
      <c r="HJ186" s="56"/>
      <c r="HK186" s="56"/>
      <c r="HL186" s="56"/>
      <c r="HM186" s="56"/>
      <c r="HN186" s="56"/>
      <c r="HO186" s="56"/>
      <c r="HP186" s="56"/>
      <c r="HQ186" s="56"/>
      <c r="HR186" s="56"/>
      <c r="HS186" s="56"/>
      <c r="HT186" s="56"/>
      <c r="HU186" s="56"/>
      <c r="HV186" s="56"/>
      <c r="HW186" s="56"/>
      <c r="HX186" s="56"/>
      <c r="HY186" s="56"/>
      <c r="HZ186" s="56"/>
      <c r="IA186" s="56"/>
      <c r="IB186" s="56"/>
      <c r="IC186" s="56"/>
      <c r="ID186" s="56"/>
      <c r="IE186" s="56"/>
      <c r="IF186" s="56"/>
      <c r="IG186" s="56"/>
      <c r="IH186" s="56"/>
      <c r="II186" s="56"/>
      <c r="IJ186" s="56"/>
      <c r="IK186" s="56"/>
      <c r="IL186" s="56"/>
      <c r="IM186" s="56"/>
      <c r="IN186" s="56"/>
    </row>
    <row r="187" spans="1:248" ht="60">
      <c r="A187" s="52"/>
      <c r="B187" s="79" t="s">
        <v>370</v>
      </c>
      <c r="C187" s="106"/>
      <c r="D187" s="54">
        <v>170</v>
      </c>
      <c r="E187" s="54">
        <v>170</v>
      </c>
      <c r="F187" s="54">
        <v>170</v>
      </c>
      <c r="G187" s="60">
        <f>132+26.4</f>
        <v>158.4</v>
      </c>
      <c r="H187" s="60">
        <v>26.4</v>
      </c>
      <c r="I187" s="55"/>
      <c r="J187" s="55"/>
      <c r="K187" s="55"/>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6"/>
      <c r="DG187" s="56"/>
      <c r="DH187" s="56"/>
      <c r="DI187" s="56"/>
      <c r="DJ187" s="56"/>
      <c r="DK187" s="56"/>
      <c r="DL187" s="56"/>
      <c r="DM187" s="56"/>
      <c r="DN187" s="56"/>
      <c r="DO187" s="56"/>
      <c r="DP187" s="56"/>
      <c r="DQ187" s="56"/>
      <c r="DR187" s="56"/>
      <c r="DS187" s="56"/>
      <c r="DT187" s="56"/>
      <c r="DU187" s="56"/>
      <c r="DV187" s="56"/>
      <c r="DW187" s="56"/>
      <c r="DX187" s="56"/>
      <c r="DY187" s="56"/>
      <c r="DZ187" s="56"/>
      <c r="EA187" s="56"/>
      <c r="EB187" s="56"/>
      <c r="EC187" s="56"/>
      <c r="ED187" s="56"/>
      <c r="EE187" s="56"/>
      <c r="EF187" s="56"/>
      <c r="EG187" s="56"/>
      <c r="EH187" s="56"/>
      <c r="EI187" s="56"/>
      <c r="EJ187" s="56"/>
      <c r="EK187" s="56"/>
      <c r="EL187" s="56"/>
      <c r="EM187" s="56"/>
      <c r="EN187" s="56"/>
      <c r="EO187" s="56"/>
      <c r="EP187" s="56"/>
      <c r="EQ187" s="56"/>
      <c r="ER187" s="56"/>
      <c r="ES187" s="56"/>
      <c r="ET187" s="56"/>
      <c r="EU187" s="56"/>
      <c r="EV187" s="56"/>
      <c r="EW187" s="56"/>
      <c r="EX187" s="56"/>
      <c r="EY187" s="56"/>
      <c r="EZ187" s="56"/>
      <c r="FA187" s="56"/>
      <c r="FB187" s="56"/>
      <c r="FC187" s="56"/>
      <c r="FD187" s="56"/>
      <c r="FE187" s="56"/>
      <c r="FF187" s="56"/>
      <c r="FG187" s="56"/>
      <c r="FH187" s="56"/>
      <c r="FI187" s="56"/>
      <c r="FJ187" s="56"/>
      <c r="FK187" s="56"/>
      <c r="FL187" s="56"/>
      <c r="FM187" s="56"/>
      <c r="FN187" s="56"/>
      <c r="FO187" s="56"/>
      <c r="FP187" s="56"/>
      <c r="FQ187" s="56"/>
      <c r="FR187" s="56"/>
      <c r="FS187" s="56"/>
      <c r="FT187" s="56"/>
      <c r="FU187" s="56"/>
      <c r="FV187" s="56"/>
      <c r="FW187" s="56"/>
      <c r="FX187" s="56"/>
      <c r="FY187" s="56"/>
      <c r="FZ187" s="56"/>
      <c r="GA187" s="56"/>
      <c r="GB187" s="56"/>
      <c r="GC187" s="56"/>
      <c r="GD187" s="56"/>
      <c r="GE187" s="56"/>
      <c r="GF187" s="56"/>
      <c r="GG187" s="56"/>
      <c r="GH187" s="56"/>
      <c r="GI187" s="56"/>
      <c r="GJ187" s="56"/>
      <c r="GK187" s="56"/>
      <c r="GL187" s="56"/>
      <c r="GM187" s="56"/>
      <c r="GN187" s="56"/>
      <c r="GO187" s="56"/>
      <c r="GP187" s="56"/>
      <c r="GQ187" s="56"/>
      <c r="GR187" s="56"/>
      <c r="GS187" s="56"/>
      <c r="GT187" s="56"/>
      <c r="GU187" s="56"/>
      <c r="GV187" s="56"/>
      <c r="GW187" s="56"/>
      <c r="GX187" s="56"/>
      <c r="GY187" s="56"/>
      <c r="GZ187" s="56"/>
      <c r="HA187" s="56"/>
      <c r="HB187" s="56"/>
      <c r="HC187" s="56"/>
      <c r="HD187" s="56"/>
      <c r="HE187" s="56"/>
      <c r="HF187" s="56"/>
      <c r="HG187" s="56"/>
      <c r="HH187" s="56"/>
      <c r="HI187" s="56"/>
      <c r="HJ187" s="56"/>
      <c r="HK187" s="56"/>
      <c r="HL187" s="56"/>
      <c r="HM187" s="56"/>
      <c r="HN187" s="56"/>
      <c r="HO187" s="56"/>
      <c r="HP187" s="56"/>
      <c r="HQ187" s="56"/>
      <c r="HR187" s="56"/>
      <c r="HS187" s="56"/>
      <c r="HT187" s="56"/>
      <c r="HU187" s="56"/>
      <c r="HV187" s="56"/>
      <c r="HW187" s="56"/>
      <c r="HX187" s="56"/>
      <c r="HY187" s="56"/>
      <c r="HZ187" s="56"/>
      <c r="IA187" s="56"/>
      <c r="IB187" s="56"/>
      <c r="IC187" s="56"/>
      <c r="ID187" s="56"/>
      <c r="IE187" s="56"/>
      <c r="IF187" s="56"/>
      <c r="IG187" s="56"/>
      <c r="IH187" s="56"/>
      <c r="II187" s="56"/>
      <c r="IJ187" s="56"/>
      <c r="IK187" s="56"/>
      <c r="IL187" s="56"/>
      <c r="IM187" s="56"/>
      <c r="IN187" s="56"/>
    </row>
    <row r="188" spans="1:248" ht="45">
      <c r="A188" s="52"/>
      <c r="B188" s="79" t="s">
        <v>509</v>
      </c>
      <c r="C188" s="106"/>
      <c r="D188" s="54">
        <v>990000</v>
      </c>
      <c r="E188" s="54">
        <v>5100</v>
      </c>
      <c r="F188" s="54">
        <v>5100</v>
      </c>
      <c r="G188" s="60">
        <f>48.4+1987.8</f>
        <v>2036.2</v>
      </c>
      <c r="H188" s="60">
        <v>1987.8</v>
      </c>
      <c r="I188" s="55"/>
      <c r="J188" s="55"/>
      <c r="K188" s="55"/>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c r="EA188" s="56"/>
      <c r="EB188" s="56"/>
      <c r="EC188" s="56"/>
      <c r="ED188" s="56"/>
      <c r="EE188" s="56"/>
      <c r="EF188" s="56"/>
      <c r="EG188" s="56"/>
      <c r="EH188" s="56"/>
      <c r="EI188" s="56"/>
      <c r="EJ188" s="56"/>
      <c r="EK188" s="56"/>
      <c r="EL188" s="56"/>
      <c r="EM188" s="56"/>
      <c r="EN188" s="56"/>
      <c r="EO188" s="56"/>
      <c r="EP188" s="56"/>
      <c r="EQ188" s="56"/>
      <c r="ER188" s="56"/>
      <c r="ES188" s="56"/>
      <c r="ET188" s="56"/>
      <c r="EU188" s="56"/>
      <c r="EV188" s="56"/>
      <c r="EW188" s="56"/>
      <c r="EX188" s="56"/>
      <c r="EY188" s="56"/>
      <c r="EZ188" s="56"/>
      <c r="FA188" s="56"/>
      <c r="FB188" s="56"/>
      <c r="FC188" s="56"/>
      <c r="FD188" s="56"/>
      <c r="FE188" s="56"/>
      <c r="FF188" s="56"/>
      <c r="FG188" s="56"/>
      <c r="FH188" s="56"/>
      <c r="FI188" s="56"/>
      <c r="FJ188" s="56"/>
      <c r="FK188" s="56"/>
      <c r="FL188" s="56"/>
      <c r="FM188" s="56"/>
      <c r="FN188" s="56"/>
      <c r="FO188" s="56"/>
      <c r="FP188" s="56"/>
      <c r="FQ188" s="56"/>
      <c r="FR188" s="56"/>
      <c r="FS188" s="56"/>
      <c r="FT188" s="56"/>
      <c r="FU188" s="56"/>
      <c r="FV188" s="56"/>
      <c r="FW188" s="56"/>
      <c r="FX188" s="56"/>
      <c r="FY188" s="56"/>
      <c r="FZ188" s="56"/>
      <c r="GA188" s="56"/>
      <c r="GB188" s="56"/>
      <c r="GC188" s="56"/>
      <c r="GD188" s="56"/>
      <c r="GE188" s="56"/>
      <c r="GF188" s="56"/>
      <c r="GG188" s="56"/>
      <c r="GH188" s="56"/>
      <c r="GI188" s="56"/>
      <c r="GJ188" s="56"/>
      <c r="GK188" s="56"/>
      <c r="GL188" s="56"/>
      <c r="GM188" s="56"/>
      <c r="GN188" s="56"/>
      <c r="GO188" s="56"/>
      <c r="GP188" s="56"/>
      <c r="GQ188" s="56"/>
      <c r="GR188" s="56"/>
      <c r="GS188" s="56"/>
      <c r="GT188" s="56"/>
      <c r="GU188" s="56"/>
      <c r="GV188" s="56"/>
      <c r="GW188" s="56"/>
      <c r="GX188" s="56"/>
      <c r="GY188" s="56"/>
      <c r="GZ188" s="56"/>
      <c r="HA188" s="56"/>
      <c r="HB188" s="56"/>
      <c r="HC188" s="56"/>
      <c r="HD188" s="56"/>
      <c r="HE188" s="56"/>
      <c r="HF188" s="56"/>
      <c r="HG188" s="56"/>
      <c r="HH188" s="56"/>
      <c r="HI188" s="56"/>
      <c r="HJ188" s="56"/>
      <c r="HK188" s="56"/>
      <c r="HL188" s="56"/>
      <c r="HM188" s="56"/>
      <c r="HN188" s="56"/>
      <c r="HO188" s="56"/>
      <c r="HP188" s="56"/>
      <c r="HQ188" s="56"/>
      <c r="HR188" s="56"/>
      <c r="HS188" s="56"/>
      <c r="HT188" s="56"/>
      <c r="HU188" s="56"/>
      <c r="HV188" s="56"/>
      <c r="HW188" s="56"/>
      <c r="HX188" s="56"/>
      <c r="HY188" s="56"/>
      <c r="HZ188" s="56"/>
      <c r="IA188" s="56"/>
      <c r="IB188" s="56"/>
      <c r="IC188" s="56"/>
      <c r="ID188" s="56"/>
      <c r="IE188" s="56"/>
      <c r="IF188" s="56"/>
      <c r="IG188" s="56"/>
      <c r="IH188" s="56"/>
      <c r="II188" s="56"/>
      <c r="IJ188" s="56"/>
      <c r="IK188" s="56"/>
      <c r="IL188" s="56"/>
      <c r="IM188" s="56"/>
      <c r="IN188" s="56"/>
    </row>
    <row r="189" spans="1:248">
      <c r="A189" s="52"/>
      <c r="B189" s="62" t="s">
        <v>361</v>
      </c>
      <c r="C189" s="106"/>
      <c r="D189" s="54"/>
      <c r="E189" s="54"/>
      <c r="F189" s="54"/>
      <c r="G189" s="60">
        <f>-170.8-300</f>
        <v>-470.8</v>
      </c>
      <c r="H189" s="60">
        <v>-300</v>
      </c>
      <c r="I189" s="55"/>
      <c r="J189" s="55"/>
      <c r="K189" s="55"/>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DL189" s="56"/>
      <c r="DM189" s="56"/>
      <c r="DN189" s="56"/>
      <c r="DO189" s="56"/>
      <c r="DP189" s="56"/>
      <c r="DQ189" s="56"/>
      <c r="DR189" s="56"/>
      <c r="DS189" s="56"/>
      <c r="DT189" s="56"/>
      <c r="DU189" s="56"/>
      <c r="DV189" s="56"/>
      <c r="DW189" s="56"/>
      <c r="DX189" s="56"/>
      <c r="DY189" s="56"/>
      <c r="DZ189" s="56"/>
      <c r="EA189" s="56"/>
      <c r="EB189" s="56"/>
      <c r="EC189" s="56"/>
      <c r="ED189" s="56"/>
      <c r="EE189" s="56"/>
      <c r="EF189" s="56"/>
      <c r="EG189" s="56"/>
      <c r="EH189" s="56"/>
      <c r="EI189" s="56"/>
      <c r="EJ189" s="56"/>
      <c r="EK189" s="56"/>
      <c r="EL189" s="56"/>
      <c r="EM189" s="56"/>
      <c r="EN189" s="56"/>
      <c r="EO189" s="56"/>
      <c r="EP189" s="56"/>
      <c r="EQ189" s="56"/>
      <c r="ER189" s="56"/>
      <c r="ES189" s="56"/>
      <c r="ET189" s="56"/>
      <c r="EU189" s="56"/>
      <c r="EV189" s="56"/>
      <c r="EW189" s="56"/>
      <c r="EX189" s="56"/>
      <c r="EY189" s="56"/>
      <c r="EZ189" s="56"/>
      <c r="FA189" s="56"/>
      <c r="FB189" s="56"/>
      <c r="FC189" s="56"/>
      <c r="FD189" s="56"/>
      <c r="FE189" s="56"/>
      <c r="FF189" s="56"/>
      <c r="FG189" s="56"/>
      <c r="FH189" s="56"/>
      <c r="FI189" s="56"/>
      <c r="FJ189" s="56"/>
      <c r="FK189" s="56"/>
      <c r="FL189" s="56"/>
      <c r="FM189" s="56"/>
      <c r="FN189" s="56"/>
      <c r="FO189" s="56"/>
      <c r="FP189" s="56"/>
      <c r="FQ189" s="56"/>
      <c r="FR189" s="56"/>
      <c r="FS189" s="56"/>
      <c r="FT189" s="56"/>
      <c r="FU189" s="56"/>
      <c r="FV189" s="56"/>
      <c r="FW189" s="56"/>
      <c r="FX189" s="56"/>
      <c r="FY189" s="56"/>
      <c r="FZ189" s="56"/>
      <c r="GA189" s="56"/>
      <c r="GB189" s="56"/>
      <c r="GC189" s="56"/>
      <c r="GD189" s="56"/>
      <c r="GE189" s="56"/>
      <c r="GF189" s="56"/>
      <c r="GG189" s="56"/>
      <c r="GH189" s="56"/>
      <c r="GI189" s="56"/>
      <c r="GJ189" s="56"/>
      <c r="GK189" s="56"/>
      <c r="GL189" s="56"/>
      <c r="GM189" s="56"/>
      <c r="GN189" s="56"/>
      <c r="GO189" s="56"/>
      <c r="GP189" s="56"/>
      <c r="GQ189" s="56"/>
      <c r="GR189" s="56"/>
      <c r="GS189" s="56"/>
      <c r="GT189" s="56"/>
      <c r="GU189" s="56"/>
      <c r="GV189" s="56"/>
      <c r="GW189" s="56"/>
      <c r="GX189" s="56"/>
      <c r="GY189" s="56"/>
      <c r="GZ189" s="56"/>
      <c r="HA189" s="56"/>
      <c r="HB189" s="56"/>
      <c r="HC189" s="56"/>
      <c r="HD189" s="56"/>
      <c r="HE189" s="56"/>
      <c r="HF189" s="56"/>
      <c r="HG189" s="56"/>
      <c r="HH189" s="56"/>
      <c r="HI189" s="56"/>
      <c r="HJ189" s="56"/>
      <c r="HK189" s="56"/>
      <c r="HL189" s="56"/>
      <c r="HM189" s="56"/>
      <c r="HN189" s="56"/>
      <c r="HO189" s="56"/>
      <c r="HP189" s="56"/>
      <c r="HQ189" s="56"/>
      <c r="HR189" s="56"/>
      <c r="HS189" s="56"/>
      <c r="HT189" s="56"/>
      <c r="HU189" s="56"/>
      <c r="HV189" s="56"/>
      <c r="HW189" s="56"/>
      <c r="HX189" s="56"/>
      <c r="HY189" s="56"/>
      <c r="HZ189" s="56"/>
      <c r="IA189" s="56"/>
      <c r="IB189" s="56"/>
      <c r="IC189" s="56"/>
      <c r="ID189" s="56"/>
      <c r="IE189" s="56"/>
      <c r="IF189" s="56"/>
      <c r="IG189" s="56"/>
      <c r="IH189" s="56"/>
      <c r="II189" s="56"/>
      <c r="IJ189" s="56"/>
      <c r="IK189" s="56"/>
      <c r="IL189" s="56"/>
      <c r="IM189" s="56"/>
      <c r="IN189" s="56"/>
    </row>
    <row r="190" spans="1:248">
      <c r="A190" s="52" t="s">
        <v>422</v>
      </c>
      <c r="B190" s="80" t="s">
        <v>423</v>
      </c>
      <c r="C190" s="106">
        <f>C191+C192+C193</f>
        <v>0</v>
      </c>
      <c r="D190" s="106">
        <f t="shared" ref="D190:H190" si="99">D191+D192+D193</f>
        <v>15342160</v>
      </c>
      <c r="E190" s="106">
        <f t="shared" si="99"/>
        <v>17423160</v>
      </c>
      <c r="F190" s="106">
        <f t="shared" si="99"/>
        <v>17423160</v>
      </c>
      <c r="G190" s="106">
        <f t="shared" si="99"/>
        <v>13125525.59</v>
      </c>
      <c r="H190" s="106">
        <f t="shared" si="99"/>
        <v>2241435.8800000004</v>
      </c>
      <c r="I190" s="55"/>
      <c r="J190" s="55"/>
      <c r="K190" s="55"/>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56"/>
      <c r="EP190" s="56"/>
      <c r="EQ190" s="56"/>
      <c r="ER190" s="56"/>
      <c r="ES190" s="56"/>
      <c r="ET190" s="56"/>
      <c r="EU190" s="56"/>
      <c r="EV190" s="56"/>
      <c r="EW190" s="56"/>
      <c r="EX190" s="56"/>
      <c r="EY190" s="56"/>
      <c r="EZ190" s="56"/>
      <c r="FA190" s="56"/>
      <c r="FB190" s="56"/>
      <c r="FC190" s="56"/>
      <c r="FD190" s="56"/>
      <c r="FE190" s="56"/>
      <c r="FF190" s="56"/>
      <c r="FG190" s="56"/>
      <c r="FH190" s="56"/>
      <c r="FI190" s="56"/>
      <c r="FJ190" s="56"/>
      <c r="FK190" s="56"/>
      <c r="FL190" s="56"/>
      <c r="FM190" s="56"/>
      <c r="FN190" s="56"/>
      <c r="FO190" s="56"/>
      <c r="FP190" s="56"/>
      <c r="FQ190" s="56"/>
      <c r="FR190" s="56"/>
      <c r="FS190" s="56"/>
      <c r="FT190" s="56"/>
      <c r="FU190" s="56"/>
      <c r="FV190" s="56"/>
      <c r="FW190" s="56"/>
      <c r="FX190" s="56"/>
      <c r="FY190" s="56"/>
      <c r="FZ190" s="56"/>
      <c r="GA190" s="56"/>
      <c r="GB190" s="56"/>
      <c r="GC190" s="56"/>
      <c r="GD190" s="56"/>
      <c r="GE190" s="56"/>
      <c r="GF190" s="56"/>
      <c r="GG190" s="56"/>
      <c r="GH190" s="56"/>
      <c r="GI190" s="56"/>
      <c r="GJ190" s="56"/>
      <c r="GK190" s="56"/>
      <c r="GL190" s="56"/>
      <c r="GM190" s="56"/>
      <c r="GN190" s="56"/>
      <c r="GO190" s="56"/>
      <c r="GP190" s="56"/>
      <c r="GQ190" s="56"/>
      <c r="GR190" s="56"/>
      <c r="GS190" s="56"/>
      <c r="GT190" s="56"/>
      <c r="GU190" s="56"/>
      <c r="GV190" s="56"/>
      <c r="GW190" s="56"/>
      <c r="GX190" s="56"/>
      <c r="GY190" s="56"/>
      <c r="GZ190" s="56"/>
      <c r="HA190" s="56"/>
      <c r="HB190" s="56"/>
      <c r="HC190" s="56"/>
      <c r="HD190" s="56"/>
      <c r="HE190" s="56"/>
      <c r="HF190" s="56"/>
      <c r="HG190" s="56"/>
      <c r="HH190" s="56"/>
      <c r="HI190" s="56"/>
      <c r="HJ190" s="56"/>
      <c r="HK190" s="56"/>
      <c r="HL190" s="56"/>
      <c r="HM190" s="56"/>
      <c r="HN190" s="56"/>
      <c r="HO190" s="56"/>
      <c r="HP190" s="56"/>
      <c r="HQ190" s="56"/>
      <c r="HR190" s="56"/>
      <c r="HS190" s="56"/>
      <c r="HT190" s="56"/>
      <c r="HU190" s="56"/>
      <c r="HV190" s="56"/>
      <c r="HW190" s="56"/>
      <c r="HX190" s="56"/>
      <c r="HY190" s="56"/>
      <c r="HZ190" s="56"/>
      <c r="IA190" s="56"/>
      <c r="IB190" s="56"/>
      <c r="IC190" s="56"/>
      <c r="ID190" s="56"/>
      <c r="IE190" s="56"/>
      <c r="IF190" s="56"/>
      <c r="IG190" s="56"/>
      <c r="IH190" s="56"/>
      <c r="II190" s="56"/>
      <c r="IJ190" s="56"/>
      <c r="IK190" s="56"/>
      <c r="IL190" s="56"/>
      <c r="IM190" s="56"/>
      <c r="IN190" s="56"/>
    </row>
    <row r="191" spans="1:248">
      <c r="A191" s="52"/>
      <c r="B191" s="81" t="s">
        <v>368</v>
      </c>
      <c r="C191" s="106"/>
      <c r="D191" s="54">
        <v>15342000</v>
      </c>
      <c r="E191" s="54">
        <v>17423000</v>
      </c>
      <c r="F191" s="54">
        <v>17423000</v>
      </c>
      <c r="G191" s="106">
        <f>5289450.87+2660549.13+2934046.51+2241332.68</f>
        <v>13125379.189999999</v>
      </c>
      <c r="H191" s="106">
        <v>2241332.6800000002</v>
      </c>
      <c r="I191" s="55"/>
      <c r="J191" s="55"/>
      <c r="K191" s="55"/>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c r="EA191" s="56"/>
      <c r="EB191" s="56"/>
      <c r="EC191" s="56"/>
      <c r="ED191" s="56"/>
      <c r="EE191" s="56"/>
      <c r="EF191" s="56"/>
      <c r="EG191" s="56"/>
      <c r="EH191" s="56"/>
      <c r="EI191" s="56"/>
      <c r="EJ191" s="56"/>
      <c r="EK191" s="56"/>
      <c r="EL191" s="56"/>
      <c r="EM191" s="56"/>
      <c r="EN191" s="56"/>
      <c r="EO191" s="56"/>
      <c r="EP191" s="56"/>
      <c r="EQ191" s="56"/>
      <c r="ER191" s="56"/>
      <c r="ES191" s="56"/>
      <c r="ET191" s="56"/>
      <c r="EU191" s="56"/>
      <c r="EV191" s="56"/>
      <c r="EW191" s="56"/>
      <c r="EX191" s="56"/>
      <c r="EY191" s="56"/>
      <c r="EZ191" s="56"/>
      <c r="FA191" s="56"/>
      <c r="FB191" s="56"/>
      <c r="FC191" s="56"/>
      <c r="FD191" s="56"/>
      <c r="FE191" s="56"/>
      <c r="FF191" s="56"/>
      <c r="FG191" s="56"/>
      <c r="FH191" s="56"/>
      <c r="FI191" s="56"/>
      <c r="FJ191" s="56"/>
      <c r="FK191" s="56"/>
      <c r="FL191" s="56"/>
      <c r="FM191" s="56"/>
      <c r="FN191" s="56"/>
      <c r="FO191" s="56"/>
      <c r="FP191" s="56"/>
      <c r="FQ191" s="56"/>
      <c r="FR191" s="56"/>
      <c r="FS191" s="56"/>
      <c r="FT191" s="56"/>
      <c r="FU191" s="56"/>
      <c r="FV191" s="56"/>
      <c r="FW191" s="56"/>
      <c r="FX191" s="56"/>
      <c r="FY191" s="56"/>
      <c r="FZ191" s="56"/>
      <c r="GA191" s="56"/>
      <c r="GB191" s="56"/>
      <c r="GC191" s="56"/>
      <c r="GD191" s="56"/>
      <c r="GE191" s="56"/>
      <c r="GF191" s="56"/>
      <c r="GG191" s="56"/>
      <c r="GH191" s="56"/>
      <c r="GI191" s="56"/>
      <c r="GJ191" s="56"/>
      <c r="GK191" s="56"/>
      <c r="GL191" s="56"/>
      <c r="GM191" s="56"/>
      <c r="GN191" s="56"/>
      <c r="GO191" s="56"/>
      <c r="GP191" s="56"/>
      <c r="GQ191" s="56"/>
      <c r="GR191" s="56"/>
      <c r="GS191" s="56"/>
      <c r="GT191" s="56"/>
      <c r="GU191" s="56"/>
      <c r="GV191" s="56"/>
      <c r="GW191" s="56"/>
      <c r="GX191" s="56"/>
      <c r="GY191" s="56"/>
      <c r="GZ191" s="56"/>
      <c r="HA191" s="56"/>
      <c r="HB191" s="56"/>
      <c r="HC191" s="56"/>
      <c r="HD191" s="56"/>
      <c r="HE191" s="56"/>
      <c r="HF191" s="56"/>
      <c r="HG191" s="56"/>
      <c r="HH191" s="56"/>
      <c r="HI191" s="56"/>
      <c r="HJ191" s="56"/>
      <c r="HK191" s="56"/>
      <c r="HL191" s="56"/>
      <c r="HM191" s="56"/>
      <c r="HN191" s="56"/>
      <c r="HO191" s="56"/>
      <c r="HP191" s="56"/>
      <c r="HQ191" s="56"/>
      <c r="HR191" s="56"/>
      <c r="HS191" s="56"/>
      <c r="HT191" s="56"/>
      <c r="HU191" s="56"/>
      <c r="HV191" s="56"/>
      <c r="HW191" s="56"/>
      <c r="HX191" s="56"/>
      <c r="HY191" s="56"/>
      <c r="HZ191" s="56"/>
      <c r="IA191" s="56"/>
      <c r="IB191" s="56"/>
      <c r="IC191" s="56"/>
      <c r="ID191" s="56"/>
      <c r="IE191" s="56"/>
      <c r="IF191" s="56"/>
      <c r="IG191" s="56"/>
      <c r="IH191" s="56"/>
      <c r="II191" s="56"/>
      <c r="IJ191" s="56"/>
      <c r="IK191" s="56"/>
      <c r="IL191" s="56"/>
      <c r="IM191" s="56"/>
      <c r="IN191" s="56"/>
    </row>
    <row r="192" spans="1:248" ht="60">
      <c r="A192" s="52"/>
      <c r="B192" s="81" t="s">
        <v>370</v>
      </c>
      <c r="C192" s="106"/>
      <c r="D192" s="54">
        <v>160</v>
      </c>
      <c r="E192" s="54">
        <v>160</v>
      </c>
      <c r="F192" s="54">
        <v>160</v>
      </c>
      <c r="G192" s="106">
        <f>43.2+103.2</f>
        <v>146.4</v>
      </c>
      <c r="H192" s="106">
        <v>103.2</v>
      </c>
      <c r="I192" s="55"/>
      <c r="J192" s="55"/>
      <c r="K192" s="55"/>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c r="DP192" s="56"/>
      <c r="DQ192" s="56"/>
      <c r="DR192" s="56"/>
      <c r="DS192" s="56"/>
      <c r="DT192" s="56"/>
      <c r="DU192" s="56"/>
      <c r="DV192" s="56"/>
      <c r="DW192" s="56"/>
      <c r="DX192" s="56"/>
      <c r="DY192" s="56"/>
      <c r="DZ192" s="56"/>
      <c r="EA192" s="56"/>
      <c r="EB192" s="56"/>
      <c r="EC192" s="56"/>
      <c r="ED192" s="56"/>
      <c r="EE192" s="56"/>
      <c r="EF192" s="56"/>
      <c r="EG192" s="56"/>
      <c r="EH192" s="56"/>
      <c r="EI192" s="56"/>
      <c r="EJ192" s="56"/>
      <c r="EK192" s="56"/>
      <c r="EL192" s="56"/>
      <c r="EM192" s="56"/>
      <c r="EN192" s="56"/>
      <c r="EO192" s="56"/>
      <c r="EP192" s="56"/>
      <c r="EQ192" s="56"/>
      <c r="ER192" s="56"/>
      <c r="ES192" s="56"/>
      <c r="ET192" s="56"/>
      <c r="EU192" s="56"/>
      <c r="EV192" s="56"/>
      <c r="EW192" s="56"/>
      <c r="EX192" s="56"/>
      <c r="EY192" s="56"/>
      <c r="EZ192" s="56"/>
      <c r="FA192" s="56"/>
      <c r="FB192" s="56"/>
      <c r="FC192" s="56"/>
      <c r="FD192" s="56"/>
      <c r="FE192" s="56"/>
      <c r="FF192" s="56"/>
      <c r="FG192" s="56"/>
      <c r="FH192" s="56"/>
      <c r="FI192" s="56"/>
      <c r="FJ192" s="56"/>
      <c r="FK192" s="56"/>
      <c r="FL192" s="56"/>
      <c r="FM192" s="56"/>
      <c r="FN192" s="56"/>
      <c r="FO192" s="56"/>
      <c r="FP192" s="56"/>
      <c r="FQ192" s="56"/>
      <c r="FR192" s="56"/>
      <c r="FS192" s="56"/>
      <c r="FT192" s="56"/>
      <c r="FU192" s="56"/>
      <c r="FV192" s="56"/>
      <c r="FW192" s="56"/>
      <c r="FX192" s="56"/>
      <c r="FY192" s="56"/>
      <c r="FZ192" s="56"/>
      <c r="GA192" s="56"/>
      <c r="GB192" s="56"/>
      <c r="GC192" s="56"/>
      <c r="GD192" s="56"/>
      <c r="GE192" s="56"/>
      <c r="GF192" s="56"/>
      <c r="GG192" s="56"/>
      <c r="GH192" s="56"/>
      <c r="GI192" s="56"/>
      <c r="GJ192" s="56"/>
      <c r="GK192" s="56"/>
      <c r="GL192" s="56"/>
      <c r="GM192" s="56"/>
      <c r="GN192" s="56"/>
      <c r="GO192" s="56"/>
      <c r="GP192" s="56"/>
      <c r="GQ192" s="56"/>
      <c r="GR192" s="56"/>
      <c r="GS192" s="56"/>
      <c r="GT192" s="56"/>
      <c r="GU192" s="56"/>
      <c r="GV192" s="56"/>
      <c r="GW192" s="56"/>
      <c r="GX192" s="56"/>
      <c r="GY192" s="56"/>
      <c r="GZ192" s="56"/>
      <c r="HA192" s="56"/>
      <c r="HB192" s="56"/>
      <c r="HC192" s="56"/>
      <c r="HD192" s="56"/>
      <c r="HE192" s="56"/>
      <c r="HF192" s="56"/>
      <c r="HG192" s="56"/>
      <c r="HH192" s="56"/>
      <c r="HI192" s="56"/>
      <c r="HJ192" s="56"/>
      <c r="HK192" s="56"/>
      <c r="HL192" s="56"/>
      <c r="HM192" s="56"/>
      <c r="HN192" s="56"/>
      <c r="HO192" s="56"/>
      <c r="HP192" s="56"/>
      <c r="HQ192" s="56"/>
      <c r="HR192" s="56"/>
      <c r="HS192" s="56"/>
      <c r="HT192" s="56"/>
      <c r="HU192" s="56"/>
      <c r="HV192" s="56"/>
      <c r="HW192" s="56"/>
      <c r="HX192" s="56"/>
      <c r="HY192" s="56"/>
      <c r="HZ192" s="56"/>
      <c r="IA192" s="56"/>
      <c r="IB192" s="56"/>
      <c r="IC192" s="56"/>
      <c r="ID192" s="56"/>
      <c r="IE192" s="56"/>
      <c r="IF192" s="56"/>
      <c r="IG192" s="56"/>
      <c r="IH192" s="56"/>
      <c r="II192" s="56"/>
      <c r="IJ192" s="56"/>
      <c r="IK192" s="56"/>
      <c r="IL192" s="56"/>
      <c r="IM192" s="56"/>
      <c r="IN192" s="56"/>
    </row>
    <row r="193" spans="1:248" ht="30">
      <c r="A193" s="52"/>
      <c r="B193" s="81" t="s">
        <v>510</v>
      </c>
      <c r="C193" s="106"/>
      <c r="D193" s="54"/>
      <c r="E193" s="54"/>
      <c r="F193" s="54"/>
      <c r="G193" s="106"/>
      <c r="H193" s="106"/>
      <c r="I193" s="55"/>
      <c r="J193" s="55"/>
      <c r="K193" s="55"/>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c r="DQ193" s="56"/>
      <c r="DR193" s="56"/>
      <c r="DS193" s="56"/>
      <c r="DT193" s="56"/>
      <c r="DU193" s="56"/>
      <c r="DV193" s="56"/>
      <c r="DW193" s="56"/>
      <c r="DX193" s="56"/>
      <c r="DY193" s="56"/>
      <c r="DZ193" s="56"/>
      <c r="EA193" s="56"/>
      <c r="EB193" s="56"/>
      <c r="EC193" s="56"/>
      <c r="ED193" s="56"/>
      <c r="EE193" s="56"/>
      <c r="EF193" s="56"/>
      <c r="EG193" s="56"/>
      <c r="EH193" s="56"/>
      <c r="EI193" s="56"/>
      <c r="EJ193" s="56"/>
      <c r="EK193" s="56"/>
      <c r="EL193" s="56"/>
      <c r="EM193" s="56"/>
      <c r="EN193" s="56"/>
      <c r="EO193" s="56"/>
      <c r="EP193" s="56"/>
      <c r="EQ193" s="56"/>
      <c r="ER193" s="56"/>
      <c r="ES193" s="56"/>
      <c r="ET193" s="56"/>
      <c r="EU193" s="56"/>
      <c r="EV193" s="56"/>
      <c r="EW193" s="56"/>
      <c r="EX193" s="56"/>
      <c r="EY193" s="56"/>
      <c r="EZ193" s="56"/>
      <c r="FA193" s="56"/>
      <c r="FB193" s="56"/>
      <c r="FC193" s="56"/>
      <c r="FD193" s="56"/>
      <c r="FE193" s="56"/>
      <c r="FF193" s="56"/>
      <c r="FG193" s="56"/>
      <c r="FH193" s="56"/>
      <c r="FI193" s="56"/>
      <c r="FJ193" s="56"/>
      <c r="FK193" s="56"/>
      <c r="FL193" s="56"/>
      <c r="FM193" s="56"/>
      <c r="FN193" s="56"/>
      <c r="FO193" s="56"/>
      <c r="FP193" s="56"/>
      <c r="FQ193" s="56"/>
      <c r="FR193" s="56"/>
      <c r="FS193" s="56"/>
      <c r="FT193" s="56"/>
      <c r="FU193" s="56"/>
      <c r="FV193" s="56"/>
      <c r="FW193" s="56"/>
      <c r="FX193" s="56"/>
      <c r="FY193" s="56"/>
      <c r="FZ193" s="56"/>
      <c r="GA193" s="56"/>
      <c r="GB193" s="56"/>
      <c r="GC193" s="56"/>
      <c r="GD193" s="56"/>
      <c r="GE193" s="56"/>
      <c r="GF193" s="56"/>
      <c r="GG193" s="56"/>
      <c r="GH193" s="56"/>
      <c r="GI193" s="56"/>
      <c r="GJ193" s="56"/>
      <c r="GK193" s="56"/>
      <c r="GL193" s="56"/>
      <c r="GM193" s="56"/>
      <c r="GN193" s="56"/>
      <c r="GO193" s="56"/>
      <c r="GP193" s="56"/>
      <c r="GQ193" s="56"/>
      <c r="GR193" s="56"/>
      <c r="GS193" s="56"/>
      <c r="GT193" s="56"/>
      <c r="GU193" s="56"/>
      <c r="GV193" s="56"/>
      <c r="GW193" s="56"/>
      <c r="GX193" s="56"/>
      <c r="GY193" s="56"/>
      <c r="GZ193" s="56"/>
      <c r="HA193" s="56"/>
      <c r="HB193" s="56"/>
      <c r="HC193" s="56"/>
      <c r="HD193" s="56"/>
      <c r="HE193" s="56"/>
      <c r="HF193" s="56"/>
      <c r="HG193" s="56"/>
      <c r="HH193" s="56"/>
      <c r="HI193" s="56"/>
      <c r="HJ193" s="56"/>
      <c r="HK193" s="56"/>
      <c r="HL193" s="56"/>
      <c r="HM193" s="56"/>
      <c r="HN193" s="56"/>
      <c r="HO193" s="56"/>
      <c r="HP193" s="56"/>
      <c r="HQ193" s="56"/>
      <c r="HR193" s="56"/>
      <c r="HS193" s="56"/>
      <c r="HT193" s="56"/>
      <c r="HU193" s="56"/>
      <c r="HV193" s="56"/>
      <c r="HW193" s="56"/>
      <c r="HX193" s="56"/>
      <c r="HY193" s="56"/>
      <c r="HZ193" s="56"/>
      <c r="IA193" s="56"/>
      <c r="IB193" s="56"/>
      <c r="IC193" s="56"/>
      <c r="ID193" s="56"/>
      <c r="IE193" s="56"/>
      <c r="IF193" s="56"/>
      <c r="IG193" s="56"/>
      <c r="IH193" s="56"/>
      <c r="II193" s="56"/>
      <c r="IJ193" s="56"/>
      <c r="IK193" s="56"/>
      <c r="IL193" s="56"/>
      <c r="IM193" s="56"/>
      <c r="IN193" s="56"/>
    </row>
    <row r="194" spans="1:248">
      <c r="A194" s="52"/>
      <c r="B194" s="62" t="s">
        <v>361</v>
      </c>
      <c r="C194" s="106"/>
      <c r="D194" s="54"/>
      <c r="E194" s="54"/>
      <c r="F194" s="54"/>
      <c r="G194" s="60"/>
      <c r="H194" s="60"/>
      <c r="I194" s="55"/>
      <c r="J194" s="55"/>
      <c r="K194" s="55"/>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IN194" s="56"/>
    </row>
    <row r="195" spans="1:248">
      <c r="A195" s="52" t="s">
        <v>424</v>
      </c>
      <c r="B195" s="82" t="s">
        <v>425</v>
      </c>
      <c r="C195" s="106">
        <f t="shared" ref="C195:H195" si="100">+C196+C197+C198</f>
        <v>0</v>
      </c>
      <c r="D195" s="106">
        <f t="shared" si="100"/>
        <v>748000</v>
      </c>
      <c r="E195" s="106">
        <f t="shared" si="100"/>
        <v>745000</v>
      </c>
      <c r="F195" s="106">
        <f t="shared" si="100"/>
        <v>745000</v>
      </c>
      <c r="G195" s="106">
        <f t="shared" si="100"/>
        <v>602915</v>
      </c>
      <c r="H195" s="106">
        <f t="shared" si="100"/>
        <v>126722.8</v>
      </c>
      <c r="I195" s="55"/>
      <c r="J195" s="55"/>
      <c r="K195" s="55"/>
      <c r="L195" s="56"/>
      <c r="IN195" s="56"/>
    </row>
    <row r="196" spans="1:248">
      <c r="A196" s="52"/>
      <c r="B196" s="79" t="s">
        <v>416</v>
      </c>
      <c r="C196" s="106"/>
      <c r="D196" s="54">
        <v>748000</v>
      </c>
      <c r="E196" s="54">
        <v>745000</v>
      </c>
      <c r="F196" s="54">
        <v>745000</v>
      </c>
      <c r="G196" s="83">
        <f>234571.6+116428.4+125192.2+126722.8</f>
        <v>602915</v>
      </c>
      <c r="H196" s="83">
        <v>126722.8</v>
      </c>
      <c r="I196" s="55"/>
      <c r="J196" s="55"/>
      <c r="K196" s="55"/>
      <c r="M196" s="83"/>
      <c r="N196" s="83"/>
      <c r="O196" s="83"/>
      <c r="P196" s="83"/>
      <c r="Q196" s="83"/>
      <c r="R196" s="83"/>
      <c r="S196" s="83"/>
      <c r="T196" s="83"/>
      <c r="U196" s="83"/>
      <c r="V196" s="83"/>
      <c r="W196" s="83"/>
      <c r="X196" s="83"/>
      <c r="Y196" s="83"/>
      <c r="Z196" s="83"/>
      <c r="AA196" s="83"/>
      <c r="AB196" s="83"/>
      <c r="AC196" s="83"/>
      <c r="AD196" s="83"/>
      <c r="AE196" s="83"/>
      <c r="IN196" s="56"/>
    </row>
    <row r="197" spans="1:248" ht="30">
      <c r="A197" s="52"/>
      <c r="B197" s="79" t="s">
        <v>426</v>
      </c>
      <c r="C197" s="106"/>
      <c r="D197" s="54"/>
      <c r="E197" s="54"/>
      <c r="F197" s="54"/>
      <c r="G197" s="83"/>
      <c r="H197" s="83"/>
      <c r="I197" s="83"/>
      <c r="J197" s="55"/>
      <c r="K197" s="55"/>
      <c r="L197" s="83"/>
      <c r="M197" s="40"/>
      <c r="N197" s="40"/>
      <c r="O197" s="40"/>
      <c r="P197" s="40"/>
      <c r="Q197" s="40"/>
      <c r="R197" s="40"/>
      <c r="S197" s="40"/>
      <c r="T197" s="40"/>
      <c r="U197" s="40"/>
      <c r="V197" s="40"/>
      <c r="W197" s="40"/>
      <c r="X197" s="40"/>
      <c r="Y197" s="40"/>
      <c r="Z197" s="40"/>
      <c r="AA197" s="40"/>
      <c r="AB197" s="40"/>
      <c r="AC197" s="40"/>
      <c r="AD197" s="40"/>
      <c r="AE197" s="40"/>
      <c r="IN197" s="56"/>
    </row>
    <row r="198" spans="1:248" ht="60">
      <c r="A198" s="52"/>
      <c r="B198" s="79" t="s">
        <v>370</v>
      </c>
      <c r="C198" s="106"/>
      <c r="D198" s="54"/>
      <c r="E198" s="54"/>
      <c r="F198" s="54"/>
      <c r="G198" s="83"/>
      <c r="H198" s="83"/>
      <c r="I198" s="40"/>
      <c r="J198" s="55"/>
      <c r="K198" s="55"/>
      <c r="L198" s="40"/>
      <c r="M198" s="40"/>
      <c r="N198" s="40"/>
      <c r="O198" s="40"/>
      <c r="P198" s="40"/>
      <c r="Q198" s="40"/>
      <c r="R198" s="40"/>
      <c r="S198" s="40"/>
      <c r="T198" s="40"/>
      <c r="U198" s="40"/>
      <c r="V198" s="40"/>
      <c r="W198" s="40"/>
      <c r="X198" s="40"/>
      <c r="Y198" s="40"/>
      <c r="Z198" s="40"/>
      <c r="AA198" s="40"/>
      <c r="AB198" s="40"/>
      <c r="AC198" s="40"/>
      <c r="AD198" s="40"/>
      <c r="AE198" s="40"/>
    </row>
    <row r="199" spans="1:248">
      <c r="A199" s="52"/>
      <c r="B199" s="62" t="s">
        <v>361</v>
      </c>
      <c r="C199" s="106"/>
      <c r="D199" s="54"/>
      <c r="E199" s="54"/>
      <c r="F199" s="54"/>
      <c r="G199" s="83"/>
      <c r="H199" s="83"/>
      <c r="I199" s="40"/>
      <c r="J199" s="55"/>
      <c r="K199" s="55"/>
      <c r="L199" s="40"/>
    </row>
    <row r="200" spans="1:248">
      <c r="A200" s="52" t="s">
        <v>427</v>
      </c>
      <c r="B200" s="82" t="s">
        <v>428</v>
      </c>
      <c r="C200" s="105">
        <f>+C201+C202+C206+C209+C203+C210</f>
        <v>0</v>
      </c>
      <c r="D200" s="105">
        <f t="shared" ref="D200:H200" si="101">+D201+D202+D206+D209+D203+D210</f>
        <v>11336550</v>
      </c>
      <c r="E200" s="105">
        <f t="shared" si="101"/>
        <v>12085600</v>
      </c>
      <c r="F200" s="105">
        <f t="shared" si="101"/>
        <v>12085600</v>
      </c>
      <c r="G200" s="105">
        <f t="shared" si="101"/>
        <v>9711538.0700000003</v>
      </c>
      <c r="H200" s="105">
        <f t="shared" si="101"/>
        <v>2239928.0699999998</v>
      </c>
      <c r="I200" s="55"/>
      <c r="J200" s="55"/>
      <c r="K200" s="55"/>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c r="DH200" s="56"/>
      <c r="DI200" s="56"/>
      <c r="DJ200" s="56"/>
      <c r="DK200" s="56"/>
      <c r="DL200" s="56"/>
      <c r="DM200" s="56"/>
      <c r="DN200" s="56"/>
      <c r="DO200" s="56"/>
      <c r="DP200" s="56"/>
      <c r="DQ200" s="56"/>
      <c r="DR200" s="56"/>
      <c r="DS200" s="56"/>
      <c r="DT200" s="56"/>
      <c r="DU200" s="56"/>
      <c r="DV200" s="56"/>
      <c r="DW200" s="56"/>
      <c r="DX200" s="56"/>
      <c r="DY200" s="56"/>
      <c r="DZ200" s="56"/>
      <c r="EA200" s="56"/>
      <c r="EB200" s="56"/>
      <c r="EC200" s="56"/>
      <c r="ED200" s="56"/>
      <c r="EE200" s="56"/>
      <c r="EF200" s="56"/>
      <c r="EG200" s="56"/>
      <c r="EH200" s="56"/>
      <c r="EI200" s="56"/>
      <c r="EJ200" s="56"/>
      <c r="EK200" s="56"/>
      <c r="EL200" s="56"/>
      <c r="EM200" s="56"/>
      <c r="EN200" s="56"/>
      <c r="EO200" s="56"/>
      <c r="EP200" s="56"/>
      <c r="EQ200" s="56"/>
      <c r="ER200" s="56"/>
      <c r="ES200" s="56"/>
      <c r="ET200" s="56"/>
      <c r="EU200" s="56"/>
      <c r="EV200" s="56"/>
      <c r="EW200" s="56"/>
      <c r="EX200" s="56"/>
      <c r="EY200" s="56"/>
      <c r="EZ200" s="56"/>
      <c r="FA200" s="56"/>
      <c r="FB200" s="56"/>
      <c r="FC200" s="56"/>
      <c r="FD200" s="56"/>
      <c r="FE200" s="56"/>
      <c r="FF200" s="56"/>
      <c r="FG200" s="56"/>
      <c r="FH200" s="56"/>
      <c r="FI200" s="56"/>
      <c r="FJ200" s="56"/>
      <c r="FK200" s="56"/>
      <c r="FL200" s="56"/>
      <c r="FM200" s="56"/>
      <c r="FN200" s="56"/>
      <c r="FO200" s="56"/>
      <c r="FP200" s="56"/>
      <c r="FQ200" s="56"/>
      <c r="FR200" s="56"/>
      <c r="FS200" s="56"/>
      <c r="FT200" s="56"/>
      <c r="FU200" s="56"/>
      <c r="FV200" s="56"/>
      <c r="FW200" s="56"/>
      <c r="FX200" s="56"/>
      <c r="FY200" s="56"/>
      <c r="FZ200" s="56"/>
      <c r="GA200" s="56"/>
      <c r="GB200" s="56"/>
      <c r="GC200" s="56"/>
      <c r="GD200" s="56"/>
      <c r="GE200" s="56"/>
      <c r="GF200" s="56"/>
      <c r="GG200" s="56"/>
      <c r="GH200" s="56"/>
      <c r="GI200" s="56"/>
      <c r="GJ200" s="56"/>
      <c r="GK200" s="56"/>
      <c r="GL200" s="56"/>
      <c r="GM200" s="56"/>
      <c r="GN200" s="56"/>
      <c r="GO200" s="56"/>
      <c r="GP200" s="56"/>
      <c r="GQ200" s="56"/>
      <c r="GR200" s="56"/>
      <c r="GS200" s="56"/>
      <c r="GT200" s="56"/>
      <c r="GU200" s="56"/>
      <c r="GV200" s="56"/>
      <c r="GW200" s="56"/>
      <c r="GX200" s="56"/>
      <c r="GY200" s="56"/>
      <c r="GZ200" s="56"/>
      <c r="HA200" s="56"/>
      <c r="HB200" s="56"/>
      <c r="HC200" s="56"/>
      <c r="HD200" s="56"/>
      <c r="HE200" s="56"/>
      <c r="HF200" s="56"/>
      <c r="HG200" s="56"/>
      <c r="HH200" s="56"/>
      <c r="HI200" s="56"/>
      <c r="HJ200" s="56"/>
      <c r="HK200" s="56"/>
      <c r="HL200" s="56"/>
      <c r="HM200" s="56"/>
      <c r="HN200" s="56"/>
      <c r="HO200" s="56"/>
      <c r="HP200" s="56"/>
      <c r="HQ200" s="56"/>
      <c r="HR200" s="56"/>
      <c r="HS200" s="56"/>
      <c r="HT200" s="56"/>
      <c r="HU200" s="56"/>
      <c r="HV200" s="56"/>
      <c r="HW200" s="56"/>
      <c r="HX200" s="56"/>
      <c r="HY200" s="56"/>
      <c r="HZ200" s="56"/>
      <c r="IA200" s="56"/>
      <c r="IB200" s="56"/>
      <c r="IC200" s="56"/>
      <c r="ID200" s="56"/>
      <c r="IE200" s="56"/>
      <c r="IF200" s="56"/>
      <c r="IG200" s="56"/>
      <c r="IH200" s="56"/>
      <c r="II200" s="56"/>
      <c r="IJ200" s="56"/>
      <c r="IK200" s="56"/>
      <c r="IL200" s="56"/>
      <c r="IM200" s="56"/>
    </row>
    <row r="201" spans="1:248">
      <c r="A201" s="52"/>
      <c r="B201" s="60" t="s">
        <v>429</v>
      </c>
      <c r="C201" s="106"/>
      <c r="D201" s="54">
        <v>11304290</v>
      </c>
      <c r="E201" s="54">
        <v>12053900</v>
      </c>
      <c r="F201" s="54">
        <v>12053900</v>
      </c>
      <c r="G201" s="83">
        <f>3434569.87+2115040.13+1900000+2231601.71</f>
        <v>9681211.7100000009</v>
      </c>
      <c r="H201" s="83">
        <v>2231601.71</v>
      </c>
      <c r="I201" s="55"/>
      <c r="J201" s="55"/>
      <c r="K201" s="55"/>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248" ht="60">
      <c r="A202" s="52"/>
      <c r="B202" s="60" t="s">
        <v>370</v>
      </c>
      <c r="C202" s="106"/>
      <c r="D202" s="54">
        <v>580</v>
      </c>
      <c r="E202" s="54">
        <v>580</v>
      </c>
      <c r="F202" s="54">
        <v>580</v>
      </c>
      <c r="G202" s="83">
        <v>568.36</v>
      </c>
      <c r="H202" s="83">
        <v>568.36</v>
      </c>
      <c r="I202" s="55"/>
      <c r="J202" s="55"/>
      <c r="K202" s="55"/>
      <c r="L202" s="56"/>
    </row>
    <row r="203" spans="1:248">
      <c r="A203" s="52"/>
      <c r="B203" s="60" t="s">
        <v>430</v>
      </c>
      <c r="C203" s="106">
        <f t="shared" ref="C203:H203" si="102">C204+C205</f>
        <v>0</v>
      </c>
      <c r="D203" s="106">
        <f t="shared" si="102"/>
        <v>0</v>
      </c>
      <c r="E203" s="106">
        <f t="shared" si="102"/>
        <v>0</v>
      </c>
      <c r="F203" s="106">
        <f t="shared" si="102"/>
        <v>0</v>
      </c>
      <c r="G203" s="106">
        <f t="shared" si="102"/>
        <v>0</v>
      </c>
      <c r="H203" s="106">
        <f t="shared" si="102"/>
        <v>0</v>
      </c>
      <c r="I203" s="55"/>
      <c r="J203" s="55"/>
      <c r="K203" s="55"/>
      <c r="L203" s="56"/>
    </row>
    <row r="204" spans="1:248">
      <c r="A204" s="52"/>
      <c r="B204" s="60" t="s">
        <v>368</v>
      </c>
      <c r="C204" s="106"/>
      <c r="D204" s="54"/>
      <c r="E204" s="54"/>
      <c r="F204" s="54"/>
      <c r="G204" s="83"/>
      <c r="H204" s="83"/>
      <c r="I204" s="55"/>
      <c r="J204" s="55"/>
      <c r="K204" s="55"/>
      <c r="L204" s="56"/>
    </row>
    <row r="205" spans="1:248" ht="60">
      <c r="A205" s="52"/>
      <c r="B205" s="60" t="s">
        <v>370</v>
      </c>
      <c r="C205" s="106"/>
      <c r="D205" s="54"/>
      <c r="E205" s="54"/>
      <c r="F205" s="54"/>
      <c r="G205" s="83"/>
      <c r="H205" s="83"/>
      <c r="I205" s="55"/>
      <c r="J205" s="55"/>
      <c r="K205" s="55"/>
      <c r="L205" s="56"/>
    </row>
    <row r="206" spans="1:248" ht="30">
      <c r="A206" s="52"/>
      <c r="B206" s="60" t="s">
        <v>431</v>
      </c>
      <c r="C206" s="106">
        <f t="shared" ref="C206:H206" si="103">C207+C208</f>
        <v>0</v>
      </c>
      <c r="D206" s="106">
        <f t="shared" si="103"/>
        <v>31680</v>
      </c>
      <c r="E206" s="106">
        <f t="shared" si="103"/>
        <v>31120</v>
      </c>
      <c r="F206" s="106">
        <f t="shared" si="103"/>
        <v>31120</v>
      </c>
      <c r="G206" s="106">
        <f t="shared" si="103"/>
        <v>29758</v>
      </c>
      <c r="H206" s="106">
        <f t="shared" si="103"/>
        <v>7758</v>
      </c>
      <c r="I206" s="55"/>
      <c r="J206" s="55"/>
      <c r="K206" s="55"/>
    </row>
    <row r="207" spans="1:248">
      <c r="A207" s="59"/>
      <c r="B207" s="60" t="s">
        <v>368</v>
      </c>
      <c r="C207" s="106"/>
      <c r="D207" s="54">
        <v>31680</v>
      </c>
      <c r="E207" s="54">
        <v>31120</v>
      </c>
      <c r="F207" s="54">
        <v>31120</v>
      </c>
      <c r="G207" s="83">
        <f>10000+5964+6036+7758</f>
        <v>29758</v>
      </c>
      <c r="H207" s="83">
        <v>7758</v>
      </c>
      <c r="I207" s="55"/>
      <c r="J207" s="55"/>
      <c r="K207" s="55"/>
    </row>
    <row r="208" spans="1:248" ht="60">
      <c r="A208" s="59"/>
      <c r="B208" s="60" t="s">
        <v>370</v>
      </c>
      <c r="C208" s="106"/>
      <c r="D208" s="54"/>
      <c r="E208" s="54"/>
      <c r="F208" s="54"/>
      <c r="G208" s="83"/>
      <c r="H208" s="83"/>
      <c r="I208" s="55"/>
      <c r="J208" s="55"/>
      <c r="K208" s="55"/>
      <c r="IN208" s="56"/>
    </row>
    <row r="209" spans="1:248" ht="30">
      <c r="A209" s="52"/>
      <c r="B209" s="60" t="s">
        <v>432</v>
      </c>
      <c r="C209" s="106"/>
      <c r="D209" s="54"/>
      <c r="E209" s="54"/>
      <c r="F209" s="54"/>
      <c r="G209" s="83"/>
      <c r="H209" s="83"/>
      <c r="I209" s="55"/>
      <c r="J209" s="55"/>
      <c r="K209" s="55"/>
      <c r="IN209" s="56"/>
    </row>
    <row r="210" spans="1:248">
      <c r="A210" s="59"/>
      <c r="B210" s="60" t="s">
        <v>511</v>
      </c>
      <c r="C210" s="106"/>
      <c r="D210" s="54"/>
      <c r="E210" s="54"/>
      <c r="F210" s="54"/>
      <c r="G210" s="83"/>
      <c r="H210" s="83"/>
      <c r="I210" s="55"/>
      <c r="J210" s="55"/>
      <c r="K210" s="55"/>
    </row>
    <row r="211" spans="1:248">
      <c r="A211" s="59"/>
      <c r="B211" s="62" t="s">
        <v>361</v>
      </c>
      <c r="C211" s="106"/>
      <c r="D211" s="54"/>
      <c r="E211" s="54"/>
      <c r="F211" s="54"/>
      <c r="G211" s="83"/>
      <c r="H211" s="83"/>
      <c r="I211" s="55"/>
      <c r="J211" s="55"/>
      <c r="K211" s="55"/>
    </row>
    <row r="212" spans="1:248" ht="16.5" customHeight="1">
      <c r="A212" s="59" t="s">
        <v>433</v>
      </c>
      <c r="B212" s="82" t="s">
        <v>434</v>
      </c>
      <c r="C212" s="106">
        <f>+C213+C214+C215</f>
        <v>0</v>
      </c>
      <c r="D212" s="106">
        <f t="shared" ref="D212:H212" si="104">+D213+D214+D215</f>
        <v>1407000</v>
      </c>
      <c r="E212" s="106">
        <f t="shared" si="104"/>
        <v>1407000</v>
      </c>
      <c r="F212" s="106">
        <f t="shared" si="104"/>
        <v>1407000</v>
      </c>
      <c r="G212" s="106">
        <f t="shared" si="104"/>
        <v>1092714</v>
      </c>
      <c r="H212" s="106">
        <f t="shared" si="104"/>
        <v>196455</v>
      </c>
      <c r="J212" s="55"/>
      <c r="K212" s="55"/>
    </row>
    <row r="213" spans="1:248">
      <c r="A213" s="59"/>
      <c r="B213" s="79" t="s">
        <v>416</v>
      </c>
      <c r="C213" s="106"/>
      <c r="D213" s="54">
        <v>1407000</v>
      </c>
      <c r="E213" s="54">
        <v>1407000</v>
      </c>
      <c r="F213" s="54">
        <v>1407000</v>
      </c>
      <c r="G213" s="83">
        <f>444062.5+204937.5+247259+196455</f>
        <v>1092714</v>
      </c>
      <c r="H213" s="83">
        <v>196455</v>
      </c>
      <c r="J213" s="55"/>
      <c r="K213" s="55"/>
    </row>
    <row r="214" spans="1:248" ht="30">
      <c r="A214" s="59"/>
      <c r="B214" s="79" t="s">
        <v>426</v>
      </c>
      <c r="C214" s="106"/>
      <c r="D214" s="54"/>
      <c r="E214" s="54"/>
      <c r="F214" s="54"/>
      <c r="G214" s="83"/>
      <c r="H214" s="83"/>
      <c r="J214" s="55"/>
      <c r="K214" s="55"/>
    </row>
    <row r="215" spans="1:248" ht="60">
      <c r="A215" s="59"/>
      <c r="B215" s="79" t="s">
        <v>370</v>
      </c>
      <c r="C215" s="106"/>
      <c r="D215" s="54"/>
      <c r="E215" s="54"/>
      <c r="F215" s="54"/>
      <c r="G215" s="83"/>
      <c r="H215" s="83"/>
      <c r="J215" s="55"/>
      <c r="K215" s="55"/>
    </row>
    <row r="216" spans="1:248">
      <c r="A216" s="59"/>
      <c r="B216" s="62" t="s">
        <v>361</v>
      </c>
      <c r="C216" s="106"/>
      <c r="D216" s="54"/>
      <c r="E216" s="54"/>
      <c r="F216" s="54"/>
      <c r="G216" s="83">
        <f>-15316-4284</f>
        <v>-19600</v>
      </c>
      <c r="H216" s="83">
        <v>-4284</v>
      </c>
      <c r="J216" s="55"/>
      <c r="K216" s="55"/>
    </row>
    <row r="217" spans="1:248">
      <c r="A217" s="59" t="s">
        <v>435</v>
      </c>
      <c r="B217" s="57" t="s">
        <v>436</v>
      </c>
      <c r="C217" s="106">
        <f t="shared" ref="C217:H217" si="105">C218+C219</f>
        <v>0</v>
      </c>
      <c r="D217" s="106">
        <f t="shared" si="105"/>
        <v>66000</v>
      </c>
      <c r="E217" s="106">
        <f t="shared" si="105"/>
        <v>66000</v>
      </c>
      <c r="F217" s="106">
        <f t="shared" si="105"/>
        <v>66000</v>
      </c>
      <c r="G217" s="106">
        <f t="shared" si="105"/>
        <v>63707.57</v>
      </c>
      <c r="H217" s="106">
        <f t="shared" si="105"/>
        <v>11501</v>
      </c>
      <c r="J217" s="55"/>
      <c r="K217" s="55"/>
    </row>
    <row r="218" spans="1:248">
      <c r="A218" s="59"/>
      <c r="B218" s="84" t="s">
        <v>368</v>
      </c>
      <c r="C218" s="106"/>
      <c r="D218" s="54">
        <v>66000</v>
      </c>
      <c r="E218" s="54">
        <v>66000</v>
      </c>
      <c r="F218" s="54">
        <v>66000</v>
      </c>
      <c r="G218" s="116">
        <f>22000+15000+15206.57+11501</f>
        <v>63707.57</v>
      </c>
      <c r="H218" s="116">
        <v>11501</v>
      </c>
      <c r="J218" s="55"/>
      <c r="K218" s="55"/>
    </row>
    <row r="219" spans="1:248" ht="60">
      <c r="A219" s="59"/>
      <c r="B219" s="84" t="s">
        <v>370</v>
      </c>
      <c r="C219" s="106"/>
      <c r="D219" s="54"/>
      <c r="E219" s="54"/>
      <c r="F219" s="54"/>
      <c r="G219" s="116"/>
      <c r="H219" s="116"/>
      <c r="J219" s="55"/>
      <c r="K219" s="55"/>
    </row>
    <row r="220" spans="1:248">
      <c r="A220" s="59"/>
      <c r="B220" s="62" t="s">
        <v>361</v>
      </c>
      <c r="C220" s="106"/>
      <c r="D220" s="54"/>
      <c r="E220" s="54"/>
      <c r="F220" s="54"/>
      <c r="G220" s="116"/>
      <c r="H220" s="116"/>
      <c r="J220" s="55"/>
      <c r="K220" s="55"/>
    </row>
    <row r="221" spans="1:248">
      <c r="A221" s="59" t="s">
        <v>437</v>
      </c>
      <c r="B221" s="57" t="s">
        <v>438</v>
      </c>
      <c r="C221" s="105">
        <f>+C222+C240</f>
        <v>0</v>
      </c>
      <c r="D221" s="105">
        <f t="shared" ref="D221:H221" si="106">+D222+D240</f>
        <v>175145520</v>
      </c>
      <c r="E221" s="105">
        <f t="shared" si="106"/>
        <v>170200600</v>
      </c>
      <c r="F221" s="105">
        <f t="shared" si="106"/>
        <v>170200600</v>
      </c>
      <c r="G221" s="105">
        <f t="shared" si="106"/>
        <v>107075908.56999999</v>
      </c>
      <c r="H221" s="105">
        <f t="shared" si="106"/>
        <v>19743964.280000001</v>
      </c>
      <c r="I221" s="40"/>
      <c r="J221" s="55"/>
      <c r="K221" s="55"/>
    </row>
    <row r="222" spans="1:248">
      <c r="A222" s="59" t="s">
        <v>439</v>
      </c>
      <c r="B222" s="57" t="s">
        <v>440</v>
      </c>
      <c r="C222" s="106">
        <f>C223+C226+C227+C228+C229+C232+C235+C238</f>
        <v>0</v>
      </c>
      <c r="D222" s="106">
        <f t="shared" ref="D222:H222" si="107">D223+D226+D227+D228+D229+D232+D235+D238</f>
        <v>170568600</v>
      </c>
      <c r="E222" s="106">
        <f t="shared" si="107"/>
        <v>166089600</v>
      </c>
      <c r="F222" s="106">
        <f t="shared" si="107"/>
        <v>166089600</v>
      </c>
      <c r="G222" s="106">
        <f t="shared" si="107"/>
        <v>103331404.56999999</v>
      </c>
      <c r="H222" s="106">
        <f t="shared" si="107"/>
        <v>18741210.280000001</v>
      </c>
      <c r="I222" s="40"/>
      <c r="J222" s="55"/>
      <c r="K222" s="55"/>
    </row>
    <row r="223" spans="1:248">
      <c r="A223" s="59"/>
      <c r="B223" s="60" t="s">
        <v>515</v>
      </c>
      <c r="C223" s="106">
        <f>C224+C225</f>
        <v>0</v>
      </c>
      <c r="D223" s="106">
        <v>164110390</v>
      </c>
      <c r="E223" s="106">
        <v>160363390</v>
      </c>
      <c r="F223" s="106">
        <v>160363390</v>
      </c>
      <c r="G223" s="106">
        <f t="shared" ref="G223:H223" si="108">G224+G225</f>
        <v>98732390</v>
      </c>
      <c r="H223" s="106">
        <f t="shared" si="108"/>
        <v>17000000</v>
      </c>
      <c r="I223" s="40"/>
      <c r="J223" s="55"/>
      <c r="K223" s="55"/>
    </row>
    <row r="224" spans="1:248">
      <c r="A224" s="59"/>
      <c r="B224" s="111" t="s">
        <v>516</v>
      </c>
      <c r="C224" s="106"/>
      <c r="D224" s="54">
        <v>163010390</v>
      </c>
      <c r="E224" s="54">
        <v>159163390</v>
      </c>
      <c r="F224" s="54">
        <v>159163390</v>
      </c>
      <c r="G224" s="83">
        <f>45732390-190473.92+18842334.51+16842921.17+16883314.99</f>
        <v>98110486.75</v>
      </c>
      <c r="H224" s="83">
        <v>16883314.989999998</v>
      </c>
      <c r="I224" s="40"/>
      <c r="J224" s="55"/>
      <c r="K224" s="55"/>
    </row>
    <row r="225" spans="1:11">
      <c r="A225" s="59"/>
      <c r="B225" s="111" t="s">
        <v>517</v>
      </c>
      <c r="C225" s="106"/>
      <c r="D225" s="54">
        <v>1100000</v>
      </c>
      <c r="E225" s="54">
        <v>1200000</v>
      </c>
      <c r="F225" s="54">
        <v>1200000</v>
      </c>
      <c r="G225" s="83">
        <f>86834.4+103639.52+157665.49+157078.83+116685.01</f>
        <v>621903.25</v>
      </c>
      <c r="H225" s="83">
        <v>116685.01</v>
      </c>
      <c r="I225" s="40"/>
      <c r="J225" s="55"/>
      <c r="K225" s="55"/>
    </row>
    <row r="226" spans="1:11" ht="60">
      <c r="A226" s="59"/>
      <c r="B226" s="60" t="s">
        <v>370</v>
      </c>
      <c r="C226" s="106"/>
      <c r="D226" s="54">
        <v>16210</v>
      </c>
      <c r="E226" s="54">
        <v>16210</v>
      </c>
      <c r="F226" s="54">
        <v>16210</v>
      </c>
      <c r="G226" s="83">
        <f>5568.03+3423.26+7203.28</f>
        <v>16194.57</v>
      </c>
      <c r="H226" s="83">
        <v>7203.28</v>
      </c>
      <c r="I226" s="40"/>
      <c r="J226" s="55"/>
      <c r="K226" s="55"/>
    </row>
    <row r="227" spans="1:11" ht="30">
      <c r="A227" s="59"/>
      <c r="B227" s="60" t="s">
        <v>444</v>
      </c>
      <c r="C227" s="106"/>
      <c r="D227" s="54"/>
      <c r="E227" s="54"/>
      <c r="F227" s="54"/>
      <c r="G227" s="83"/>
      <c r="H227" s="83"/>
      <c r="I227" s="40"/>
      <c r="J227" s="55"/>
      <c r="K227" s="55"/>
    </row>
    <row r="228" spans="1:11">
      <c r="A228" s="59"/>
      <c r="B228" s="60" t="s">
        <v>445</v>
      </c>
      <c r="C228" s="106"/>
      <c r="D228" s="54">
        <v>6442000</v>
      </c>
      <c r="E228" s="54">
        <v>5710000</v>
      </c>
      <c r="F228" s="54">
        <v>5710000</v>
      </c>
      <c r="G228" s="83">
        <f>1853093+75757+919963+1734007</f>
        <v>4582820</v>
      </c>
      <c r="H228" s="83">
        <v>1734007</v>
      </c>
      <c r="I228" s="40"/>
      <c r="J228" s="55"/>
      <c r="K228" s="55"/>
    </row>
    <row r="229" spans="1:11" ht="45">
      <c r="A229" s="59"/>
      <c r="B229" s="60" t="s">
        <v>441</v>
      </c>
      <c r="C229" s="106">
        <f t="shared" ref="C229:H229" si="109">C230+C231</f>
        <v>0</v>
      </c>
      <c r="D229" s="106">
        <f t="shared" si="109"/>
        <v>0</v>
      </c>
      <c r="E229" s="106">
        <f t="shared" si="109"/>
        <v>0</v>
      </c>
      <c r="F229" s="106">
        <f t="shared" si="109"/>
        <v>0</v>
      </c>
      <c r="G229" s="106">
        <f t="shared" si="109"/>
        <v>0</v>
      </c>
      <c r="H229" s="106">
        <f t="shared" si="109"/>
        <v>0</v>
      </c>
      <c r="I229" s="40"/>
      <c r="J229" s="55"/>
      <c r="K229" s="55"/>
    </row>
    <row r="230" spans="1:11">
      <c r="A230" s="59"/>
      <c r="B230" s="60" t="s">
        <v>372</v>
      </c>
      <c r="C230" s="106"/>
      <c r="D230" s="54"/>
      <c r="E230" s="54"/>
      <c r="F230" s="54"/>
      <c r="G230" s="83"/>
      <c r="H230" s="83"/>
      <c r="I230" s="40"/>
      <c r="J230" s="55"/>
      <c r="K230" s="55"/>
    </row>
    <row r="231" spans="1:11" ht="60">
      <c r="A231" s="59"/>
      <c r="B231" s="60" t="s">
        <v>370</v>
      </c>
      <c r="C231" s="106"/>
      <c r="D231" s="54"/>
      <c r="E231" s="54"/>
      <c r="F231" s="54"/>
      <c r="G231" s="83"/>
      <c r="H231" s="83"/>
      <c r="I231" s="40"/>
      <c r="J231" s="55"/>
      <c r="K231" s="55"/>
    </row>
    <row r="232" spans="1:11" ht="30">
      <c r="B232" s="60" t="s">
        <v>442</v>
      </c>
      <c r="C232" s="106">
        <f>C233+C234</f>
        <v>0</v>
      </c>
      <c r="D232" s="106">
        <f t="shared" ref="D232:H232" si="110">D233+D234</f>
        <v>0</v>
      </c>
      <c r="E232" s="106">
        <f t="shared" si="110"/>
        <v>0</v>
      </c>
      <c r="F232" s="106">
        <f t="shared" si="110"/>
        <v>0</v>
      </c>
      <c r="G232" s="106">
        <f t="shared" si="110"/>
        <v>0</v>
      </c>
      <c r="H232" s="106">
        <f t="shared" si="110"/>
        <v>0</v>
      </c>
      <c r="J232" s="55"/>
      <c r="K232" s="55"/>
    </row>
    <row r="233" spans="1:11">
      <c r="B233" s="60" t="s">
        <v>372</v>
      </c>
      <c r="C233" s="106"/>
      <c r="D233" s="54"/>
      <c r="E233" s="54"/>
      <c r="F233" s="54"/>
      <c r="G233" s="116"/>
      <c r="H233" s="116"/>
      <c r="J233" s="55"/>
      <c r="K233" s="55"/>
    </row>
    <row r="234" spans="1:11" ht="60">
      <c r="B234" s="60" t="s">
        <v>370</v>
      </c>
      <c r="C234" s="106"/>
      <c r="D234" s="54"/>
      <c r="E234" s="54"/>
      <c r="F234" s="54"/>
      <c r="G234" s="116"/>
      <c r="H234" s="116"/>
      <c r="J234" s="55"/>
      <c r="K234" s="55"/>
    </row>
    <row r="235" spans="1:11">
      <c r="B235" s="85" t="s">
        <v>443</v>
      </c>
      <c r="C235" s="106">
        <f t="shared" ref="C235:H235" si="111">C236+C237</f>
        <v>0</v>
      </c>
      <c r="D235" s="106">
        <f t="shared" si="111"/>
        <v>0</v>
      </c>
      <c r="E235" s="106">
        <f t="shared" si="111"/>
        <v>0</v>
      </c>
      <c r="F235" s="106">
        <f t="shared" si="111"/>
        <v>0</v>
      </c>
      <c r="G235" s="106">
        <f t="shared" si="111"/>
        <v>0</v>
      </c>
      <c r="H235" s="106">
        <f t="shared" si="111"/>
        <v>0</v>
      </c>
      <c r="J235" s="55"/>
      <c r="K235" s="55"/>
    </row>
    <row r="236" spans="1:11">
      <c r="B236" s="85" t="s">
        <v>372</v>
      </c>
      <c r="C236" s="106"/>
      <c r="D236" s="54"/>
      <c r="E236" s="54"/>
      <c r="F236" s="54"/>
      <c r="G236" s="83"/>
      <c r="H236" s="83"/>
      <c r="J236" s="55"/>
      <c r="K236" s="55"/>
    </row>
    <row r="237" spans="1:11" ht="60">
      <c r="B237" s="85" t="s">
        <v>370</v>
      </c>
      <c r="C237" s="106"/>
      <c r="D237" s="54"/>
      <c r="E237" s="54"/>
      <c r="F237" s="54"/>
      <c r="G237" s="83"/>
      <c r="H237" s="83"/>
      <c r="J237" s="55"/>
      <c r="K237" s="55"/>
    </row>
    <row r="238" spans="1:11">
      <c r="B238" s="85" t="s">
        <v>512</v>
      </c>
      <c r="C238" s="106"/>
      <c r="D238" s="54"/>
      <c r="E238" s="54"/>
      <c r="F238" s="54"/>
      <c r="G238" s="83"/>
      <c r="H238" s="83"/>
      <c r="J238" s="55"/>
      <c r="K238" s="55"/>
    </row>
    <row r="239" spans="1:11">
      <c r="B239" s="62" t="s">
        <v>361</v>
      </c>
      <c r="C239" s="106"/>
      <c r="D239" s="54"/>
      <c r="E239" s="54"/>
      <c r="F239" s="54"/>
      <c r="G239" s="83">
        <f>-5274.46-7267.15-34353.17-18536.33-4501.36</f>
        <v>-69932.47</v>
      </c>
      <c r="H239" s="83">
        <v>-4501.3599999999997</v>
      </c>
      <c r="J239" s="55"/>
      <c r="K239" s="55"/>
    </row>
    <row r="240" spans="1:11">
      <c r="A240" s="36" t="s">
        <v>446</v>
      </c>
      <c r="B240" s="57" t="s">
        <v>447</v>
      </c>
      <c r="C240" s="106">
        <f t="shared" ref="C240:H240" si="112">C241+C242+C243+C244</f>
        <v>0</v>
      </c>
      <c r="D240" s="106">
        <f t="shared" si="112"/>
        <v>4576920</v>
      </c>
      <c r="E240" s="106">
        <f t="shared" si="112"/>
        <v>4111000</v>
      </c>
      <c r="F240" s="106">
        <f t="shared" si="112"/>
        <v>4111000</v>
      </c>
      <c r="G240" s="106">
        <f t="shared" si="112"/>
        <v>3744504</v>
      </c>
      <c r="H240" s="106">
        <f t="shared" si="112"/>
        <v>1002754</v>
      </c>
      <c r="J240" s="55"/>
      <c r="K240" s="55"/>
    </row>
    <row r="241" spans="1:11">
      <c r="B241" s="60" t="s">
        <v>368</v>
      </c>
      <c r="C241" s="106"/>
      <c r="D241" s="54">
        <v>3734000</v>
      </c>
      <c r="E241" s="54">
        <v>3433000</v>
      </c>
      <c r="F241" s="54">
        <v>3433000</v>
      </c>
      <c r="G241" s="83">
        <f>1144000+572170+650000+739563</f>
        <v>3105733</v>
      </c>
      <c r="H241" s="83">
        <v>739563</v>
      </c>
      <c r="J241" s="55"/>
      <c r="K241" s="55"/>
    </row>
    <row r="242" spans="1:11">
      <c r="B242" s="86" t="s">
        <v>448</v>
      </c>
      <c r="C242" s="106"/>
      <c r="D242" s="54"/>
      <c r="E242" s="54"/>
      <c r="F242" s="54"/>
      <c r="G242" s="83"/>
      <c r="H242" s="83"/>
      <c r="J242" s="55"/>
      <c r="K242" s="55"/>
    </row>
    <row r="243" spans="1:11" ht="60">
      <c r="B243" s="86" t="s">
        <v>370</v>
      </c>
      <c r="C243" s="106"/>
      <c r="D243" s="54"/>
      <c r="E243" s="54"/>
      <c r="F243" s="54"/>
      <c r="G243" s="83"/>
      <c r="H243" s="83"/>
      <c r="J243" s="55"/>
      <c r="K243" s="55"/>
    </row>
    <row r="244" spans="1:11">
      <c r="B244" s="86" t="s">
        <v>445</v>
      </c>
      <c r="C244" s="106"/>
      <c r="D244" s="54">
        <v>842920</v>
      </c>
      <c r="E244" s="54">
        <v>678000</v>
      </c>
      <c r="F244" s="54">
        <v>678000</v>
      </c>
      <c r="G244" s="83">
        <f>240911+2079+132590+263191</f>
        <v>638771</v>
      </c>
      <c r="H244" s="83">
        <v>263191</v>
      </c>
      <c r="J244" s="55"/>
      <c r="K244" s="55"/>
    </row>
    <row r="245" spans="1:11">
      <c r="B245" s="62" t="s">
        <v>361</v>
      </c>
      <c r="C245" s="106"/>
      <c r="D245" s="54"/>
      <c r="E245" s="54"/>
      <c r="F245" s="54"/>
      <c r="G245" s="83"/>
      <c r="H245" s="83"/>
      <c r="J245" s="55"/>
      <c r="K245" s="55"/>
    </row>
    <row r="246" spans="1:11">
      <c r="A246" s="36" t="s">
        <v>449</v>
      </c>
      <c r="B246" s="62" t="s">
        <v>450</v>
      </c>
      <c r="C246" s="106"/>
      <c r="D246" s="54">
        <v>114000</v>
      </c>
      <c r="E246" s="54">
        <v>114000</v>
      </c>
      <c r="F246" s="54">
        <v>114000</v>
      </c>
      <c r="G246" s="83">
        <f>35747.5+18252.5+18000+22681.25</f>
        <v>94681.25</v>
      </c>
      <c r="H246" s="83">
        <v>22681.25</v>
      </c>
      <c r="J246" s="55"/>
      <c r="K246" s="55"/>
    </row>
    <row r="247" spans="1:11">
      <c r="B247" s="62" t="s">
        <v>361</v>
      </c>
      <c r="C247" s="106"/>
      <c r="D247" s="54"/>
      <c r="E247" s="54"/>
      <c r="F247" s="54"/>
      <c r="G247" s="83"/>
      <c r="H247" s="83"/>
      <c r="J247" s="55"/>
      <c r="K247" s="55"/>
    </row>
    <row r="248" spans="1:11">
      <c r="A248" s="36" t="s">
        <v>451</v>
      </c>
      <c r="B248" s="62" t="s">
        <v>452</v>
      </c>
      <c r="C248" s="106"/>
      <c r="D248" s="54">
        <v>3252740</v>
      </c>
      <c r="E248" s="54">
        <v>3252740</v>
      </c>
      <c r="F248" s="54">
        <v>3252740</v>
      </c>
      <c r="G248" s="83">
        <f>1604013.94+313446.35+1335275.83</f>
        <v>3252736.12</v>
      </c>
      <c r="H248" s="83">
        <v>0</v>
      </c>
      <c r="J248" s="55"/>
      <c r="K248" s="55"/>
    </row>
    <row r="249" spans="1:11">
      <c r="B249" s="62" t="s">
        <v>361</v>
      </c>
      <c r="C249" s="106"/>
      <c r="D249" s="54"/>
      <c r="E249" s="54"/>
      <c r="F249" s="54"/>
      <c r="G249" s="83">
        <f>-3136.11-59862.17-71425.06</f>
        <v>-134423.34</v>
      </c>
      <c r="H249" s="83">
        <v>0</v>
      </c>
      <c r="J249" s="55"/>
      <c r="K249" s="55"/>
    </row>
    <row r="250" spans="1:11">
      <c r="B250" s="57" t="s">
        <v>453</v>
      </c>
      <c r="C250" s="106">
        <f>C87+C105+C141+C169+C173+C177+C189+C194+C199+C211+C216+C220+C239+C245+C247+C249</f>
        <v>0</v>
      </c>
      <c r="D250" s="106">
        <f t="shared" ref="D250:H250" si="113">D87+D105+D141+D169+D173+D177+D189+D194+D199+D211+D216+D220+D239+D245+D247+D249</f>
        <v>0</v>
      </c>
      <c r="E250" s="106">
        <f t="shared" si="113"/>
        <v>0</v>
      </c>
      <c r="F250" s="106">
        <f t="shared" si="113"/>
        <v>0</v>
      </c>
      <c r="G250" s="106">
        <f t="shared" si="113"/>
        <v>-257275.04</v>
      </c>
      <c r="H250" s="106">
        <f t="shared" si="113"/>
        <v>-9085.36</v>
      </c>
      <c r="J250" s="55"/>
      <c r="K250" s="55"/>
    </row>
    <row r="251" spans="1:11" ht="30">
      <c r="A251" s="36" t="s">
        <v>224</v>
      </c>
      <c r="B251" s="57" t="s">
        <v>225</v>
      </c>
      <c r="C251" s="106">
        <f t="shared" ref="C251:H252" si="114">C252</f>
        <v>0</v>
      </c>
      <c r="D251" s="106">
        <f t="shared" si="114"/>
        <v>270390620</v>
      </c>
      <c r="E251" s="106">
        <f t="shared" si="114"/>
        <v>270390620</v>
      </c>
      <c r="F251" s="106">
        <f t="shared" si="114"/>
        <v>164475280</v>
      </c>
      <c r="G251" s="106">
        <f t="shared" si="114"/>
        <v>137386950</v>
      </c>
      <c r="H251" s="106">
        <f t="shared" si="114"/>
        <v>27530396</v>
      </c>
      <c r="J251" s="55"/>
      <c r="K251" s="55"/>
    </row>
    <row r="252" spans="1:11">
      <c r="A252" s="36" t="s">
        <v>454</v>
      </c>
      <c r="B252" s="57" t="s">
        <v>455</v>
      </c>
      <c r="C252" s="106">
        <f>C253</f>
        <v>0</v>
      </c>
      <c r="D252" s="106">
        <f t="shared" si="114"/>
        <v>270390620</v>
      </c>
      <c r="E252" s="106">
        <f t="shared" si="114"/>
        <v>270390620</v>
      </c>
      <c r="F252" s="106">
        <f t="shared" si="114"/>
        <v>164475280</v>
      </c>
      <c r="G252" s="106">
        <f t="shared" si="114"/>
        <v>137386950</v>
      </c>
      <c r="H252" s="106">
        <f t="shared" si="114"/>
        <v>27530396</v>
      </c>
      <c r="J252" s="55"/>
      <c r="K252" s="55"/>
    </row>
    <row r="253" spans="1:11" ht="45">
      <c r="A253" s="36" t="s">
        <v>456</v>
      </c>
      <c r="B253" s="57" t="s">
        <v>457</v>
      </c>
      <c r="C253" s="106">
        <f>C254+C255+C256+C257</f>
        <v>0</v>
      </c>
      <c r="D253" s="106">
        <f>D254+D255+D256+D257+D261</f>
        <v>270390620</v>
      </c>
      <c r="E253" s="106">
        <f t="shared" ref="E253:H253" si="115">E254+E255+E256+E257+E261</f>
        <v>270390620</v>
      </c>
      <c r="F253" s="106">
        <f t="shared" si="115"/>
        <v>164475280</v>
      </c>
      <c r="G253" s="106">
        <f t="shared" si="115"/>
        <v>137386950</v>
      </c>
      <c r="H253" s="106">
        <f t="shared" si="115"/>
        <v>27530396</v>
      </c>
      <c r="J253" s="55"/>
      <c r="K253" s="55"/>
    </row>
    <row r="254" spans="1:11" ht="30">
      <c r="B254" s="62" t="s">
        <v>458</v>
      </c>
      <c r="C254" s="106"/>
      <c r="D254" s="54">
        <v>239692000</v>
      </c>
      <c r="E254" s="54">
        <v>239692000</v>
      </c>
      <c r="F254" s="54">
        <v>145695880</v>
      </c>
      <c r="G254" s="106">
        <f>50081039+23749876+24282362+24506029</f>
        <v>122619306</v>
      </c>
      <c r="H254" s="106">
        <v>24506029</v>
      </c>
      <c r="J254" s="55"/>
      <c r="K254" s="55"/>
    </row>
    <row r="255" spans="1:11" ht="45">
      <c r="B255" s="62" t="s">
        <v>459</v>
      </c>
      <c r="C255" s="106"/>
      <c r="D255" s="54">
        <v>1730000</v>
      </c>
      <c r="E255" s="54">
        <v>1730000</v>
      </c>
      <c r="F255" s="54">
        <v>1021040</v>
      </c>
      <c r="G255" s="106">
        <f>303282+238751+144622+50824</f>
        <v>737479</v>
      </c>
      <c r="H255" s="106">
        <v>50824</v>
      </c>
      <c r="J255" s="55"/>
      <c r="K255" s="55"/>
    </row>
    <row r="256" spans="1:11" ht="45">
      <c r="B256" s="62" t="s">
        <v>460</v>
      </c>
      <c r="C256" s="106"/>
      <c r="D256" s="54">
        <v>490000</v>
      </c>
      <c r="E256" s="54">
        <v>490000</v>
      </c>
      <c r="F256" s="54">
        <v>315410</v>
      </c>
      <c r="G256" s="106">
        <f>100593+64809+50687+32918</f>
        <v>249007</v>
      </c>
      <c r="H256" s="106">
        <v>32918</v>
      </c>
      <c r="J256" s="55"/>
      <c r="K256" s="55"/>
    </row>
    <row r="257" spans="1:11" ht="45">
      <c r="B257" s="62" t="s">
        <v>461</v>
      </c>
      <c r="C257" s="106">
        <f t="shared" ref="C257:H257" si="116">C258+C259+C260</f>
        <v>0</v>
      </c>
      <c r="D257" s="106">
        <f t="shared" si="116"/>
        <v>25840000</v>
      </c>
      <c r="E257" s="106">
        <f t="shared" ref="E257" si="117">E258+E259+E260</f>
        <v>25840000</v>
      </c>
      <c r="F257" s="106">
        <f t="shared" ref="F257" si="118">F258+F259+F260</f>
        <v>14804330</v>
      </c>
      <c r="G257" s="106">
        <f t="shared" si="116"/>
        <v>11143276</v>
      </c>
      <c r="H257" s="106">
        <f t="shared" si="116"/>
        <v>2171566</v>
      </c>
      <c r="J257" s="55"/>
      <c r="K257" s="55"/>
    </row>
    <row r="258" spans="1:11" ht="90">
      <c r="B258" s="62" t="s">
        <v>462</v>
      </c>
      <c r="C258" s="106"/>
      <c r="D258" s="54">
        <v>8660000</v>
      </c>
      <c r="E258" s="54">
        <v>8660000</v>
      </c>
      <c r="F258" s="54">
        <v>4954360</v>
      </c>
      <c r="G258" s="106">
        <f>1516771+714587+717680+716307</f>
        <v>3665345</v>
      </c>
      <c r="H258" s="106">
        <v>716307</v>
      </c>
      <c r="J258" s="55"/>
      <c r="K258" s="55"/>
    </row>
    <row r="259" spans="1:11" ht="75">
      <c r="B259" s="62" t="s">
        <v>463</v>
      </c>
      <c r="C259" s="106"/>
      <c r="D259" s="54">
        <v>9750000</v>
      </c>
      <c r="E259" s="54">
        <v>9750000</v>
      </c>
      <c r="F259" s="54">
        <v>5440290</v>
      </c>
      <c r="G259" s="106">
        <f>1652285+757005+758658+755654</f>
        <v>3923602</v>
      </c>
      <c r="H259" s="106">
        <v>755654</v>
      </c>
      <c r="J259" s="55"/>
      <c r="K259" s="55"/>
    </row>
    <row r="260" spans="1:11" ht="60">
      <c r="B260" s="62" t="s">
        <v>464</v>
      </c>
      <c r="C260" s="106"/>
      <c r="D260" s="54">
        <v>7430000</v>
      </c>
      <c r="E260" s="54">
        <v>7430000</v>
      </c>
      <c r="F260" s="54">
        <v>4409680</v>
      </c>
      <c r="G260" s="106">
        <f>1465196+694481+695047+699605</f>
        <v>3554329</v>
      </c>
      <c r="H260" s="106">
        <v>699605</v>
      </c>
      <c r="J260" s="55"/>
      <c r="K260" s="55"/>
    </row>
    <row r="261" spans="1:11" ht="120">
      <c r="B261" s="62" t="s">
        <v>519</v>
      </c>
      <c r="C261" s="106"/>
      <c r="D261" s="54">
        <v>2638620</v>
      </c>
      <c r="E261" s="54">
        <v>2638620</v>
      </c>
      <c r="F261" s="54">
        <v>2638620</v>
      </c>
      <c r="G261" s="106">
        <f>665254+546325+657244+769059</f>
        <v>2637882</v>
      </c>
      <c r="H261" s="106">
        <v>769059</v>
      </c>
      <c r="J261" s="55"/>
      <c r="K261" s="55"/>
    </row>
    <row r="262" spans="1:11">
      <c r="A262" s="36" t="s">
        <v>465</v>
      </c>
      <c r="B262" s="87" t="s">
        <v>466</v>
      </c>
      <c r="C262" s="109">
        <f>+C263</f>
        <v>0</v>
      </c>
      <c r="D262" s="109">
        <f t="shared" ref="D262:H264" si="119">+D263</f>
        <v>34402000</v>
      </c>
      <c r="E262" s="109">
        <f t="shared" si="119"/>
        <v>34402000</v>
      </c>
      <c r="F262" s="109">
        <f t="shared" si="119"/>
        <v>27063000</v>
      </c>
      <c r="G262" s="109">
        <f t="shared" si="119"/>
        <v>26793604</v>
      </c>
      <c r="H262" s="109">
        <f t="shared" si="119"/>
        <v>4253171</v>
      </c>
      <c r="I262" s="40"/>
      <c r="J262" s="55"/>
      <c r="K262" s="55"/>
    </row>
    <row r="263" spans="1:11">
      <c r="A263" s="36" t="s">
        <v>467</v>
      </c>
      <c r="B263" s="87" t="s">
        <v>217</v>
      </c>
      <c r="C263" s="109">
        <f>+C264</f>
        <v>0</v>
      </c>
      <c r="D263" s="109">
        <f t="shared" si="119"/>
        <v>34402000</v>
      </c>
      <c r="E263" s="109">
        <f t="shared" si="119"/>
        <v>34402000</v>
      </c>
      <c r="F263" s="109">
        <f t="shared" si="119"/>
        <v>27063000</v>
      </c>
      <c r="G263" s="109">
        <f t="shared" si="119"/>
        <v>26793604</v>
      </c>
      <c r="H263" s="109">
        <f t="shared" si="119"/>
        <v>4253171</v>
      </c>
      <c r="I263" s="40"/>
      <c r="J263" s="55"/>
      <c r="K263" s="55"/>
    </row>
    <row r="264" spans="1:11">
      <c r="A264" s="36" t="s">
        <v>468</v>
      </c>
      <c r="B264" s="57" t="s">
        <v>469</v>
      </c>
      <c r="C264" s="109">
        <f>+C265</f>
        <v>0</v>
      </c>
      <c r="D264" s="109">
        <f t="shared" si="119"/>
        <v>34402000</v>
      </c>
      <c r="E264" s="109">
        <f t="shared" si="119"/>
        <v>34402000</v>
      </c>
      <c r="F264" s="109">
        <f t="shared" si="119"/>
        <v>27063000</v>
      </c>
      <c r="G264" s="109">
        <f t="shared" si="119"/>
        <v>26793604</v>
      </c>
      <c r="H264" s="109">
        <f t="shared" si="119"/>
        <v>4253171</v>
      </c>
      <c r="I264" s="40"/>
      <c r="J264" s="55"/>
      <c r="K264" s="55"/>
    </row>
    <row r="265" spans="1:11">
      <c r="A265" s="36" t="s">
        <v>470</v>
      </c>
      <c r="B265" s="87" t="s">
        <v>471</v>
      </c>
      <c r="C265" s="105">
        <f t="shared" ref="C265:H265" si="120">C266</f>
        <v>0</v>
      </c>
      <c r="D265" s="105">
        <f t="shared" si="120"/>
        <v>34402000</v>
      </c>
      <c r="E265" s="105">
        <f t="shared" si="120"/>
        <v>34402000</v>
      </c>
      <c r="F265" s="105">
        <f t="shared" si="120"/>
        <v>27063000</v>
      </c>
      <c r="G265" s="105">
        <f t="shared" si="120"/>
        <v>26793604</v>
      </c>
      <c r="H265" s="105">
        <f t="shared" si="120"/>
        <v>4253171</v>
      </c>
      <c r="I265" s="40"/>
      <c r="J265" s="55"/>
      <c r="K265" s="55"/>
    </row>
    <row r="266" spans="1:11">
      <c r="A266" s="36" t="s">
        <v>472</v>
      </c>
      <c r="B266" s="87" t="s">
        <v>473</v>
      </c>
      <c r="C266" s="105">
        <f t="shared" ref="C266:H266" si="121">C268+C269+C270</f>
        <v>0</v>
      </c>
      <c r="D266" s="105">
        <f t="shared" si="121"/>
        <v>34402000</v>
      </c>
      <c r="E266" s="105">
        <f t="shared" si="121"/>
        <v>34402000</v>
      </c>
      <c r="F266" s="105">
        <f t="shared" si="121"/>
        <v>27063000</v>
      </c>
      <c r="G266" s="105">
        <f t="shared" si="121"/>
        <v>26793604</v>
      </c>
      <c r="H266" s="105">
        <f t="shared" si="121"/>
        <v>4253171</v>
      </c>
      <c r="I266" s="40"/>
      <c r="J266" s="55"/>
      <c r="K266" s="55"/>
    </row>
    <row r="267" spans="1:11">
      <c r="A267" s="36" t="s">
        <v>474</v>
      </c>
      <c r="B267" s="87" t="s">
        <v>475</v>
      </c>
      <c r="C267" s="105">
        <f t="shared" ref="C267:H267" si="122">C268</f>
        <v>0</v>
      </c>
      <c r="D267" s="105">
        <f t="shared" si="122"/>
        <v>19525000</v>
      </c>
      <c r="E267" s="105">
        <f t="shared" si="122"/>
        <v>19525000</v>
      </c>
      <c r="F267" s="105">
        <f t="shared" si="122"/>
        <v>19328000</v>
      </c>
      <c r="G267" s="105">
        <f t="shared" si="122"/>
        <v>19275825</v>
      </c>
      <c r="H267" s="105">
        <f t="shared" si="122"/>
        <v>3163767</v>
      </c>
      <c r="J267" s="55"/>
      <c r="K267" s="55"/>
    </row>
    <row r="268" spans="1:11">
      <c r="A268" s="36" t="s">
        <v>476</v>
      </c>
      <c r="B268" s="88" t="s">
        <v>477</v>
      </c>
      <c r="C268" s="106"/>
      <c r="D268" s="54">
        <v>19525000</v>
      </c>
      <c r="E268" s="54">
        <v>19525000</v>
      </c>
      <c r="F268" s="54">
        <v>19328000</v>
      </c>
      <c r="G268" s="83">
        <f>6809454+6180292+3122312+3163767</f>
        <v>19275825</v>
      </c>
      <c r="H268" s="83">
        <v>3163767</v>
      </c>
      <c r="J268" s="55"/>
      <c r="K268" s="55"/>
    </row>
    <row r="269" spans="1:11">
      <c r="A269" s="36" t="s">
        <v>478</v>
      </c>
      <c r="B269" s="88" t="s">
        <v>479</v>
      </c>
      <c r="C269" s="106"/>
      <c r="D269" s="54">
        <v>14877000</v>
      </c>
      <c r="E269" s="54">
        <v>14877000</v>
      </c>
      <c r="F269" s="54">
        <v>7735000</v>
      </c>
      <c r="G269" s="83">
        <f>2237229+2327763+1863383+1089404</f>
        <v>7517779</v>
      </c>
      <c r="H269" s="83">
        <v>1089404</v>
      </c>
      <c r="J269" s="55"/>
      <c r="K269" s="55"/>
    </row>
    <row r="270" spans="1:11">
      <c r="B270" s="66" t="s">
        <v>480</v>
      </c>
      <c r="C270" s="106"/>
      <c r="D270" s="54"/>
      <c r="E270" s="54"/>
      <c r="F270" s="54"/>
      <c r="G270" s="83"/>
      <c r="H270" s="83"/>
      <c r="J270" s="55"/>
      <c r="K270" s="55"/>
    </row>
    <row r="271" spans="1:11" ht="30">
      <c r="A271" s="36" t="s">
        <v>228</v>
      </c>
      <c r="B271" s="89" t="s">
        <v>229</v>
      </c>
      <c r="C271" s="110">
        <f>C276+C272</f>
        <v>0</v>
      </c>
      <c r="D271" s="110">
        <f t="shared" ref="D271:H271" si="123">D276+D272</f>
        <v>0</v>
      </c>
      <c r="E271" s="110">
        <f t="shared" si="123"/>
        <v>0</v>
      </c>
      <c r="F271" s="110">
        <f t="shared" si="123"/>
        <v>0</v>
      </c>
      <c r="G271" s="110">
        <f t="shared" si="123"/>
        <v>0</v>
      </c>
      <c r="H271" s="110">
        <f t="shared" si="123"/>
        <v>0</v>
      </c>
    </row>
    <row r="272" spans="1:11">
      <c r="A272" s="36" t="s">
        <v>481</v>
      </c>
      <c r="B272" s="89" t="s">
        <v>482</v>
      </c>
      <c r="C272" s="110">
        <f>C273+C274+C275</f>
        <v>0</v>
      </c>
      <c r="D272" s="110">
        <f t="shared" ref="D272:H272" si="124">D273+D274+D275</f>
        <v>0</v>
      </c>
      <c r="E272" s="110">
        <f t="shared" si="124"/>
        <v>0</v>
      </c>
      <c r="F272" s="110">
        <f t="shared" si="124"/>
        <v>0</v>
      </c>
      <c r="G272" s="110">
        <f t="shared" si="124"/>
        <v>0</v>
      </c>
      <c r="H272" s="110">
        <f t="shared" si="124"/>
        <v>0</v>
      </c>
    </row>
    <row r="273" spans="1:8">
      <c r="A273" s="36" t="s">
        <v>483</v>
      </c>
      <c r="B273" s="89" t="s">
        <v>484</v>
      </c>
      <c r="C273" s="110"/>
      <c r="D273" s="54"/>
      <c r="E273" s="54"/>
      <c r="F273" s="54"/>
      <c r="G273" s="110"/>
      <c r="H273" s="110"/>
    </row>
    <row r="274" spans="1:8">
      <c r="A274" s="36" t="s">
        <v>485</v>
      </c>
      <c r="B274" s="89" t="s">
        <v>486</v>
      </c>
      <c r="C274" s="110"/>
      <c r="D274" s="54"/>
      <c r="E274" s="54"/>
      <c r="F274" s="54"/>
      <c r="G274" s="110"/>
      <c r="H274" s="110"/>
    </row>
    <row r="275" spans="1:8">
      <c r="A275" s="36" t="s">
        <v>487</v>
      </c>
      <c r="B275" s="89" t="s">
        <v>488</v>
      </c>
      <c r="C275" s="110"/>
      <c r="D275" s="54"/>
      <c r="E275" s="54"/>
      <c r="F275" s="54"/>
      <c r="G275" s="110"/>
      <c r="H275" s="110"/>
    </row>
    <row r="276" spans="1:8">
      <c r="A276" s="36" t="s">
        <v>489</v>
      </c>
      <c r="B276" s="89" t="s">
        <v>518</v>
      </c>
      <c r="C276" s="110">
        <f>C277+C278+C279</f>
        <v>0</v>
      </c>
      <c r="D276" s="110">
        <f t="shared" ref="D276:H276" si="125">D277+D278+D279</f>
        <v>0</v>
      </c>
      <c r="E276" s="110">
        <f t="shared" si="125"/>
        <v>0</v>
      </c>
      <c r="F276" s="110">
        <f t="shared" si="125"/>
        <v>0</v>
      </c>
      <c r="G276" s="110">
        <f t="shared" si="125"/>
        <v>0</v>
      </c>
      <c r="H276" s="110">
        <f t="shared" si="125"/>
        <v>0</v>
      </c>
    </row>
    <row r="277" spans="1:8">
      <c r="A277" s="36" t="s">
        <v>490</v>
      </c>
      <c r="B277" s="90" t="s">
        <v>491</v>
      </c>
      <c r="C277" s="83"/>
      <c r="D277" s="54"/>
      <c r="E277" s="54"/>
      <c r="F277" s="54"/>
      <c r="G277" s="83"/>
      <c r="H277" s="83"/>
    </row>
    <row r="278" spans="1:8">
      <c r="A278" s="36" t="s">
        <v>492</v>
      </c>
      <c r="B278" s="90" t="s">
        <v>493</v>
      </c>
      <c r="C278" s="83"/>
      <c r="D278" s="54"/>
      <c r="E278" s="54"/>
      <c r="F278" s="54"/>
      <c r="G278" s="83"/>
      <c r="H278" s="83"/>
    </row>
    <row r="279" spans="1:8">
      <c r="A279" s="36" t="s">
        <v>494</v>
      </c>
      <c r="B279" s="90" t="s">
        <v>488</v>
      </c>
      <c r="C279" s="83"/>
      <c r="D279" s="54"/>
      <c r="E279" s="54"/>
      <c r="F279" s="54"/>
      <c r="G279" s="83"/>
      <c r="H279" s="83"/>
    </row>
    <row r="280" spans="1:8">
      <c r="A280" s="36" t="s">
        <v>495</v>
      </c>
      <c r="B280" s="89" t="s">
        <v>496</v>
      </c>
      <c r="C280" s="110">
        <f>C281</f>
        <v>0</v>
      </c>
      <c r="D280" s="110">
        <f t="shared" ref="D280:H281" si="126">D281</f>
        <v>0</v>
      </c>
      <c r="E280" s="110">
        <f t="shared" si="126"/>
        <v>0</v>
      </c>
      <c r="F280" s="110">
        <f t="shared" si="126"/>
        <v>0</v>
      </c>
      <c r="G280" s="110">
        <f t="shared" si="126"/>
        <v>0</v>
      </c>
      <c r="H280" s="110">
        <f t="shared" si="126"/>
        <v>0</v>
      </c>
    </row>
    <row r="281" spans="1:8">
      <c r="A281" s="36" t="s">
        <v>497</v>
      </c>
      <c r="B281" s="89" t="s">
        <v>217</v>
      </c>
      <c r="C281" s="110">
        <f>C282</f>
        <v>0</v>
      </c>
      <c r="D281" s="110">
        <f t="shared" si="126"/>
        <v>0</v>
      </c>
      <c r="E281" s="110">
        <f t="shared" si="126"/>
        <v>0</v>
      </c>
      <c r="F281" s="110">
        <f t="shared" si="126"/>
        <v>0</v>
      </c>
      <c r="G281" s="110">
        <f t="shared" si="126"/>
        <v>0</v>
      </c>
      <c r="H281" s="110">
        <f t="shared" si="126"/>
        <v>0</v>
      </c>
    </row>
    <row r="282" spans="1:8" ht="30">
      <c r="A282" s="36" t="s">
        <v>498</v>
      </c>
      <c r="B282" s="89" t="s">
        <v>229</v>
      </c>
      <c r="C282" s="110">
        <f>C285</f>
        <v>0</v>
      </c>
      <c r="D282" s="110">
        <f t="shared" ref="D282:H282" si="127">D285</f>
        <v>0</v>
      </c>
      <c r="E282" s="110">
        <f t="shared" si="127"/>
        <v>0</v>
      </c>
      <c r="F282" s="110">
        <f t="shared" si="127"/>
        <v>0</v>
      </c>
      <c r="G282" s="110">
        <f t="shared" si="127"/>
        <v>0</v>
      </c>
      <c r="H282" s="110">
        <f t="shared" si="127"/>
        <v>0</v>
      </c>
    </row>
    <row r="283" spans="1:8">
      <c r="A283" s="36" t="s">
        <v>499</v>
      </c>
      <c r="B283" s="89" t="s">
        <v>242</v>
      </c>
      <c r="C283" s="110">
        <f t="shared" ref="C283:H288" si="128">C284</f>
        <v>0</v>
      </c>
      <c r="D283" s="110">
        <f t="shared" si="128"/>
        <v>0</v>
      </c>
      <c r="E283" s="110">
        <f t="shared" si="128"/>
        <v>0</v>
      </c>
      <c r="F283" s="110">
        <f t="shared" si="128"/>
        <v>0</v>
      </c>
      <c r="G283" s="110">
        <f t="shared" si="128"/>
        <v>0</v>
      </c>
      <c r="H283" s="110">
        <f t="shared" si="128"/>
        <v>0</v>
      </c>
    </row>
    <row r="284" spans="1:8">
      <c r="A284" s="36" t="s">
        <v>500</v>
      </c>
      <c r="B284" s="89" t="s">
        <v>217</v>
      </c>
      <c r="C284" s="110">
        <f t="shared" si="128"/>
        <v>0</v>
      </c>
      <c r="D284" s="110">
        <f t="shared" si="128"/>
        <v>0</v>
      </c>
      <c r="E284" s="110">
        <f t="shared" si="128"/>
        <v>0</v>
      </c>
      <c r="F284" s="110">
        <f t="shared" si="128"/>
        <v>0</v>
      </c>
      <c r="G284" s="110">
        <f t="shared" si="128"/>
        <v>0</v>
      </c>
      <c r="H284" s="110">
        <f t="shared" si="128"/>
        <v>0</v>
      </c>
    </row>
    <row r="285" spans="1:8" ht="30">
      <c r="A285" s="36" t="s">
        <v>501</v>
      </c>
      <c r="B285" s="90" t="s">
        <v>229</v>
      </c>
      <c r="C285" s="110">
        <f t="shared" si="128"/>
        <v>0</v>
      </c>
      <c r="D285" s="110">
        <f t="shared" si="128"/>
        <v>0</v>
      </c>
      <c r="E285" s="110">
        <f t="shared" si="128"/>
        <v>0</v>
      </c>
      <c r="F285" s="110">
        <f t="shared" si="128"/>
        <v>0</v>
      </c>
      <c r="G285" s="110">
        <f t="shared" si="128"/>
        <v>0</v>
      </c>
      <c r="H285" s="110">
        <f t="shared" si="128"/>
        <v>0</v>
      </c>
    </row>
    <row r="286" spans="1:8">
      <c r="A286" s="36" t="s">
        <v>502</v>
      </c>
      <c r="B286" s="89" t="s">
        <v>518</v>
      </c>
      <c r="C286" s="110">
        <f t="shared" si="128"/>
        <v>0</v>
      </c>
      <c r="D286" s="110">
        <f t="shared" si="128"/>
        <v>0</v>
      </c>
      <c r="E286" s="110">
        <f t="shared" si="128"/>
        <v>0</v>
      </c>
      <c r="F286" s="110">
        <f t="shared" si="128"/>
        <v>0</v>
      </c>
      <c r="G286" s="110">
        <f t="shared" si="128"/>
        <v>0</v>
      </c>
      <c r="H286" s="110">
        <f t="shared" si="128"/>
        <v>0</v>
      </c>
    </row>
    <row r="287" spans="1:8">
      <c r="A287" s="36" t="s">
        <v>503</v>
      </c>
      <c r="B287" s="89" t="s">
        <v>493</v>
      </c>
      <c r="C287" s="110">
        <f t="shared" si="128"/>
        <v>0</v>
      </c>
      <c r="D287" s="110">
        <f t="shared" si="128"/>
        <v>0</v>
      </c>
      <c r="E287" s="110">
        <f t="shared" si="128"/>
        <v>0</v>
      </c>
      <c r="F287" s="110">
        <f t="shared" si="128"/>
        <v>0</v>
      </c>
      <c r="G287" s="110">
        <f t="shared" si="128"/>
        <v>0</v>
      </c>
      <c r="H287" s="110">
        <f t="shared" si="128"/>
        <v>0</v>
      </c>
    </row>
    <row r="288" spans="1:8">
      <c r="A288" s="36" t="s">
        <v>504</v>
      </c>
      <c r="B288" s="89" t="s">
        <v>505</v>
      </c>
      <c r="C288" s="110">
        <f t="shared" si="128"/>
        <v>0</v>
      </c>
      <c r="D288" s="110">
        <f t="shared" si="128"/>
        <v>0</v>
      </c>
      <c r="E288" s="110">
        <f t="shared" si="128"/>
        <v>0</v>
      </c>
      <c r="F288" s="110">
        <f t="shared" si="128"/>
        <v>0</v>
      </c>
      <c r="G288" s="110">
        <f t="shared" si="128"/>
        <v>0</v>
      </c>
      <c r="H288" s="110">
        <f t="shared" si="128"/>
        <v>0</v>
      </c>
    </row>
    <row r="289" spans="1:8">
      <c r="A289" s="36" t="s">
        <v>506</v>
      </c>
      <c r="B289" s="90" t="s">
        <v>507</v>
      </c>
      <c r="C289" s="83"/>
      <c r="D289" s="54"/>
      <c r="E289" s="54"/>
      <c r="F289" s="54"/>
      <c r="G289" s="83"/>
      <c r="H289" s="61"/>
    </row>
    <row r="291" spans="1:8">
      <c r="B291" s="6" t="s">
        <v>522</v>
      </c>
    </row>
    <row r="292" spans="1:8">
      <c r="B292" s="6"/>
      <c r="F292" s="27" t="s">
        <v>524</v>
      </c>
      <c r="G292" s="6"/>
    </row>
    <row r="293" spans="1:8">
      <c r="B293" s="6" t="s">
        <v>521</v>
      </c>
      <c r="F293" s="27"/>
      <c r="G293" s="6"/>
    </row>
    <row r="294" spans="1:8">
      <c r="F294" s="27" t="s">
        <v>523</v>
      </c>
      <c r="G294" s="6"/>
    </row>
  </sheetData>
  <protectedRanges>
    <protectedRange sqref="B2:B3 C1:C3" name="Zonă1_1" securityDescriptor="O:WDG:WDD:(A;;CC;;;WD)"/>
    <protectedRange sqref="G144:H145 G69:H69 G37:H40 G162:H164 G53:H56 G201:H201 G133:H137 G99:H105 G91:H93 G111:H112 G95:H96 G114:H115 G117:H118 G120:H121 G123:H124 G126:H127 G147:H148 G150:H154 G156:H159 G166:H169 G207:H211 G139:H141 G181:H183 G25:H33 G45:H50 G61:H65 G80:H84 G35:H35" name="Zonă3"/>
    <protectedRange sqref="B1" name="Zonă1_1_1_1_1_1" securityDescriptor="O:WDG:WDD:(A;;CC;;;WD)"/>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2</vt:i4>
      </vt:variant>
    </vt:vector>
  </HeadingPairs>
  <TitlesOfParts>
    <vt:vector size="4" baseType="lpstr">
      <vt:lpstr>venituri</vt:lpstr>
      <vt:lpstr>cheltuieli</vt:lpstr>
      <vt:lpstr>cheltuieli!Zona_de_imprimat</vt:lpstr>
      <vt:lpstr>venituri!Zona_de_imprimat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Ecaterina Cumpanasu</cp:lastModifiedBy>
  <cp:lastPrinted>2023-06-26T12:52:55Z</cp:lastPrinted>
  <dcterms:created xsi:type="dcterms:W3CDTF">2023-02-07T08:41:31Z</dcterms:created>
  <dcterms:modified xsi:type="dcterms:W3CDTF">2023-06-26T13:13:44Z</dcterms:modified>
</cp:coreProperties>
</file>